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VTSKNY4jmaSm09ZTkIl+7fBap5uzpMhhk9KCcGojEzm3veTVSU2Y7EZ4KbYwLSrBg7Io5aijYkFHG+d3hRy09w==" workbookSaltValue="KbeyjVN1bLC92ZPLxFBb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T31" i="8" l="1"/>
  <c r="AL21" i="1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<sst xmlns="http://schemas.openxmlformats.org/spreadsheetml/2006/main" count="2654" uniqueCount="1183">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</sst>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1</v>
      </c>
      <c r="E5" s="418"/>
      <c r="F5" s="3"/>
      <c r="H5" t="s">
        <v>542</v>
      </c>
      <c r="Q5" s="391">
        <v>3</v>
      </c>
      <c r="R5" s="391">
        <v>2</v>
      </c>
      <c r="S5" t="b">
        <f>AND(Q5&gt;=TrimIni,Q5&lt;=TrimFin)</f>
        <v>0</v>
      </c>
    </row>
    <row r="6" spans="1:19" ht="15">
      <c r="A6" s="419"/>
      <c r="B6" s="418"/>
      <c r="C6" s="416" t="s">
        <v>274</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UNKXAlLZ5MXPEeNDjra0YMK6b0efM1kG8+G+t12pa0ZLwWGHoYNg2IW0qw9PzyhosR5GdTYSMeqkwHxO6/qIg==" saltValue="IZfZu82yr2HbcxdFSBDy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GALICIA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1 al 1</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20.035714285714285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11</v>
      </c>
      <c r="F10" s="240">
        <f>IF(ISNUMBER(Datos!K10),Datos!K10," - ")</f>
        <v>14</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-8.8235294117647065E-2</v>
      </c>
      <c r="L10" s="1402">
        <f>IF(ISNUMBER(NºAsuntos!I10/NºAsuntos!G10),(NºAsuntos!I10/NºAsuntos!G10)*11," - ")</f>
        <v>24.357142857142858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13.567567567567568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11</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1098</v>
      </c>
      <c r="D16" s="239">
        <f>IF(ISNUMBER(IF(D_I="SI",Datos!I16,Datos!I16+Datos!AC16)),IF(D_I="SI",Datos!I16,Datos!I16+Datos!AC16)," - ")</f>
        <v>1161</v>
      </c>
      <c r="E16" s="240">
        <f>IF(ISNUMBER(IF(D_I="SI",Datos!J16,Datos!J16+Datos!AD16)),IF(D_I="SI",Datos!J16,Datos!J16+Datos!AD16)," - ")</f>
        <v>880</v>
      </c>
      <c r="F16" s="240">
        <f>IF(ISNUMBER(IF(D_I="SI",Datos!K16,Datos!K16+Datos!AE16)),IF(D_I="SI",Datos!K16,Datos!K16+Datos!AE16)," - ")</f>
        <v>1024</v>
      </c>
      <c r="G16" s="1390" t="str">
        <f>IF(Datos!E16&lt;&gt;"",Datos!E16,Datos!D16)</f>
        <v>03</v>
      </c>
      <c r="H16" s="241">
        <f>IF(ISNUMBER(IF(D_I="SI",Datos!L16,Datos!L16+Datos!AF16)),IF(D_I="SI",Datos!L16,Datos!L16+Datos!AF16)," - ")</f>
        <v>954</v>
      </c>
      <c r="I16" s="1400" t="str">
        <f>IF(ISNUMBER(Datos!AS16/Datos!BM16),Datos!AS16/Datos!BM16," - ")</f>
        <v xml:space="preserve"> - </v>
      </c>
      <c r="J16" s="1401">
        <f>IF(ISNUMBER(Datos!BY16/Datos!CN16),Datos!BY16/Datos!CN16," - ")</f>
        <v>0</v>
      </c>
      <c r="K16" s="244">
        <f t="shared" ref="K16:K22" si="3">IF(ISNUMBER((E16-F16)/C16),(E16-F16)/C16," - ")</f>
        <v>-0.13114754098360656</v>
      </c>
      <c r="L16" s="1402">
        <f>IF(ISNUMBER(NºAsuntos!I16/NºAsuntos!G16),(NºAsuntos!I16/NºAsuntos!G16)*11," - ")</f>
        <v>10.248046875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56</v>
      </c>
      <c r="E18" s="240">
        <f>IF(ISNUMBER(IF(D_I="SI",Datos!J18,Datos!J18+Datos!AD18)),IF(D_I="SI",Datos!J18,Datos!J18+Datos!AD18)," - ")</f>
        <v>72</v>
      </c>
      <c r="F18" s="240">
        <f>IF(ISNUMBER(IF(D_I="SI",Datos!K18,Datos!K18+Datos!AE18)),IF(D_I="SI",Datos!K18,Datos!K18+Datos!AE18)," - ")</f>
        <v>69</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5.7692307692307696E-2</v>
      </c>
      <c r="L18" s="1402">
        <f>IF(ISNUMBER(NºAsuntos!I18/NºAsuntos!G18),(NºAsuntos!I18/NºAsuntos!G18)*11," - ")</f>
        <v>8.7681159420289845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1150</v>
      </c>
      <c r="D23" s="1407">
        <f>SUBTOTAL(9,D16:D22)</f>
        <v>1217</v>
      </c>
      <c r="E23" s="1408">
        <f>SUBTOTAL(9,E16:E22)</f>
        <v>952</v>
      </c>
      <c r="F23" s="1408">
        <f>SUBTOTAL(9,F16:F22)</f>
        <v>1093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1184</v>
      </c>
      <c r="D31" s="1435">
        <f>SUBTOTAL(9,D9:D30)</f>
        <v>1251</v>
      </c>
      <c r="E31" s="1436">
        <f>SUBTOTAL(9,E9:E30)</f>
        <v>963</v>
      </c>
      <c r="F31" s="1436">
        <f>SUBTOTAL(9,F9:F30)</f>
        <v>1107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xjdTEJAFXg2hU4kH32lRbPvbLkKvUr0+6nTdZE7Jx9so5ZysC10+EdwBLq8eyFzTr1fdqkQr6JXxH4WdIKQ8Ug==" saltValue="/2eHY2I/g9lt1zrXqNLF0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Kz9G8LTI6ZUtswr12M68GHMYfDtRh1LeKVmLv7A59qSSEwhXk90W2XxVCf9wSo/dMTzb6C53sWkAKNFS1gQ9Kw==" saltValue="g2PWvX03Ddp7JpXHnd1g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1870</v>
      </c>
      <c r="J9" s="194">
        <v>1200</v>
      </c>
      <c r="K9" s="194">
        <v>1030</v>
      </c>
      <c r="L9" s="194">
        <v>2040</v>
      </c>
      <c r="M9" s="194">
        <v>276</v>
      </c>
      <c r="N9" s="194">
        <v>427</v>
      </c>
      <c r="O9" s="194">
        <v>611</v>
      </c>
      <c r="P9" s="194">
        <v>345</v>
      </c>
      <c r="Q9" s="194">
        <v>328</v>
      </c>
      <c r="R9" s="194">
        <v>4420</v>
      </c>
      <c r="S9" s="194">
        <v>2349</v>
      </c>
      <c r="T9" s="194">
        <v>1123</v>
      </c>
      <c r="U9" s="194">
        <v>1408</v>
      </c>
      <c r="V9" s="194">
        <v>2062</v>
      </c>
      <c r="W9" s="194">
        <v>300</v>
      </c>
      <c r="X9" s="201">
        <v>753</v>
      </c>
      <c r="Y9" s="204">
        <v>77</v>
      </c>
      <c r="Z9" s="194">
        <v>92</v>
      </c>
      <c r="AA9" s="194">
        <v>118</v>
      </c>
      <c r="AB9" s="194">
        <v>51</v>
      </c>
      <c r="AC9" s="194">
        <v>0</v>
      </c>
      <c r="AD9" s="194">
        <v>0</v>
      </c>
      <c r="AE9" s="194">
        <v>0</v>
      </c>
      <c r="AF9" s="201">
        <v>0</v>
      </c>
      <c r="AG9" s="204">
        <v>118</v>
      </c>
      <c r="AH9" s="194">
        <v>121</v>
      </c>
      <c r="AI9" s="194">
        <v>156</v>
      </c>
      <c r="AJ9" s="205">
        <v>83</v>
      </c>
      <c r="AK9" s="193">
        <v>0</v>
      </c>
      <c r="AL9" s="194">
        <v>0</v>
      </c>
      <c r="AM9" s="194">
        <v>0</v>
      </c>
      <c r="AN9" s="201">
        <v>0</v>
      </c>
      <c r="AO9" s="282">
        <v>4</v>
      </c>
      <c r="AP9" s="167">
        <v>4</v>
      </c>
      <c r="AQ9" s="167">
        <v>4</v>
      </c>
      <c r="AR9" s="206">
        <v>4</v>
      </c>
      <c r="AS9" s="379" t="s">
        <v>1067</v>
      </c>
      <c r="AT9" s="208"/>
      <c r="AU9" s="207"/>
      <c r="AV9" s="208"/>
      <c r="AW9" s="207"/>
      <c r="AX9" s="208"/>
      <c r="AY9" s="133">
        <f>IF(ISNUMBER(IF(J_V="SI",S9,S9+AG9)),IF(J_V="SI",S9,S9+AG9)," - ")</f>
        <v>2467</v>
      </c>
      <c r="AZ9" s="133">
        <f>IF(ISNUMBER(IF(J_V="SI",T9,T9+AH9)),IF(J_V="SI",T9,T9+AH9)," - ")</f>
        <v>1244</v>
      </c>
      <c r="BA9" s="134">
        <f>IF(ISNUMBER(IF(J_V="SI",U9,U9+AI9)),IF(J_V="SI",U9,U9+AI9)," - ")</f>
        <v>1564</v>
      </c>
      <c r="BB9" s="134">
        <f>IF(ISNUMBER(IF(J_V="SI",V9,V9+AJ9)),IF(J_V="SI",V9,V9+AJ9)," - ")</f>
        <v>2145</v>
      </c>
      <c r="BC9" s="135">
        <f>IF(ISNUMBER(X9),X9," - ")</f>
        <v>753</v>
      </c>
      <c r="BD9" s="136">
        <f>IF(ISNUMBER(BA9/AZ9),BA9/AZ9," - ")</f>
        <v>1.257234726688103</v>
      </c>
      <c r="BE9" s="137">
        <f>IF(ISNUMBER(BB9/BA9),BB9/BA9, " - ")</f>
        <v>1.3714833759590792</v>
      </c>
      <c r="BF9" s="137">
        <f>IF(ISNUMBER(BC9/BA9),BC9/BA9, " - ")</f>
        <v>0.48145780051150894</v>
      </c>
      <c r="BG9" s="209">
        <f>IF(ISNUMBER((AY9+AZ9)/BA9),(AY9+AZ9)/BA9," - ")</f>
        <v>2.3727621483375958</v>
      </c>
      <c r="BH9" s="167">
        <v>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34</v>
      </c>
      <c r="J10" s="194">
        <v>11</v>
      </c>
      <c r="K10" s="194">
        <v>14</v>
      </c>
      <c r="L10" s="194">
        <v>31</v>
      </c>
      <c r="M10" s="194">
        <v>6</v>
      </c>
      <c r="N10" s="194">
        <v>5</v>
      </c>
      <c r="O10" s="194">
        <v>2</v>
      </c>
      <c r="P10" s="194">
        <v>4</v>
      </c>
      <c r="Q10" s="194">
        <v>1</v>
      </c>
      <c r="R10" s="194">
        <v>64</v>
      </c>
      <c r="S10" s="194">
        <v>43</v>
      </c>
      <c r="T10" s="194">
        <v>11</v>
      </c>
      <c r="U10" s="194">
        <v>27</v>
      </c>
      <c r="V10" s="194">
        <v>27</v>
      </c>
      <c r="W10" s="194">
        <v>7</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1061</v>
      </c>
      <c r="AT10" s="205"/>
      <c r="AU10" s="213"/>
      <c r="AV10" s="205"/>
      <c r="AW10" s="213"/>
      <c r="AX10" s="205"/>
      <c r="AY10" s="138">
        <f t="shared" ref="AY10:BC10" si="0">IF(ISNUMBER(S10),S10," - ")</f>
        <v>43</v>
      </c>
      <c r="AZ10" s="139">
        <f t="shared" si="0"/>
        <v>11</v>
      </c>
      <c r="BA10" s="139">
        <f t="shared" si="0"/>
        <v>27</v>
      </c>
      <c r="BB10" s="139">
        <f t="shared" si="0"/>
        <v>27</v>
      </c>
      <c r="BC10" s="135">
        <f t="shared" si="0"/>
        <v>7</v>
      </c>
      <c r="BD10" s="136">
        <f>IF(ISNUMBER(BA10/AZ10),BA10/AZ10," - ")</f>
        <v>2.4545454545454546</v>
      </c>
      <c r="BE10" s="137">
        <f>IF(ISNUMBER(BB10/BA10),BB10/BA10, " - ")</f>
        <v>1</v>
      </c>
      <c r="BF10" s="137">
        <f>IF(ISNUMBER(BC10/BA10),BC10/BA10, " - ")</f>
        <v>0.25925925925925924</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365</v>
      </c>
      <c r="J11" s="196">
        <v>286</v>
      </c>
      <c r="K11" s="196">
        <v>242</v>
      </c>
      <c r="L11" s="196">
        <v>409</v>
      </c>
      <c r="M11" s="196">
        <v>89</v>
      </c>
      <c r="N11" s="196">
        <v>234</v>
      </c>
      <c r="O11" s="194">
        <v>86</v>
      </c>
      <c r="P11" s="196">
        <v>45</v>
      </c>
      <c r="Q11" s="196">
        <v>95</v>
      </c>
      <c r="R11" s="196">
        <v>490</v>
      </c>
      <c r="S11" s="196">
        <v>567</v>
      </c>
      <c r="T11" s="196">
        <v>226</v>
      </c>
      <c r="U11" s="196">
        <v>209</v>
      </c>
      <c r="V11" s="196">
        <v>577</v>
      </c>
      <c r="W11" s="196">
        <v>99</v>
      </c>
      <c r="X11" s="202">
        <v>213</v>
      </c>
      <c r="Y11" s="204">
        <v>94</v>
      </c>
      <c r="Z11" s="194">
        <v>164</v>
      </c>
      <c r="AA11" s="194">
        <v>165</v>
      </c>
      <c r="AB11" s="194">
        <v>93</v>
      </c>
      <c r="AC11" s="196">
        <v>0</v>
      </c>
      <c r="AD11" s="196">
        <v>0</v>
      </c>
      <c r="AE11" s="196">
        <v>0</v>
      </c>
      <c r="AF11" s="202">
        <v>0</v>
      </c>
      <c r="AG11" s="215">
        <v>29</v>
      </c>
      <c r="AH11" s="196">
        <v>147</v>
      </c>
      <c r="AI11" s="196">
        <v>146</v>
      </c>
      <c r="AJ11" s="216">
        <v>30</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596</v>
      </c>
      <c r="AZ11" s="137">
        <f t="shared" si="1"/>
        <v>373</v>
      </c>
      <c r="BA11" s="137">
        <f t="shared" si="1"/>
        <v>355</v>
      </c>
      <c r="BB11" s="137">
        <f t="shared" si="1"/>
        <v>607</v>
      </c>
      <c r="BC11" s="135">
        <f>IF(ISNUMBER(X11),X11," - ")</f>
        <v>213</v>
      </c>
      <c r="BD11" s="136">
        <f t="shared" ref="BD11:BD13" si="2">IF(ISNUMBER(BA11/AZ11),BA11/AZ11," - ")</f>
        <v>0.95174262734584447</v>
      </c>
      <c r="BE11" s="137">
        <f t="shared" ref="BE11:BE13" si="3">IF(ISNUMBER(BB11/BA11),BB11/BA11, " - ")</f>
        <v>1.7098591549295774</v>
      </c>
      <c r="BF11" s="137">
        <f t="shared" ref="BF11:BF13" si="4">IF(ISNUMBER(BC11/BA11),BC11/BA11, " - ")</f>
        <v>0.6</v>
      </c>
      <c r="BG11" s="209">
        <f t="shared" ref="BG11:BG13" si="5">IF(ISNUMBER((AY11+AZ11)/BA11),(AY11+AZ11)/BA11," - ")</f>
        <v>2.7295774647887323</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2</v>
      </c>
      <c r="K12" s="196">
        <v>1</v>
      </c>
      <c r="L12" s="196">
        <v>2</v>
      </c>
      <c r="M12" s="196">
        <v>0</v>
      </c>
      <c r="N12" s="196">
        <v>1</v>
      </c>
      <c r="O12" s="194">
        <v>1</v>
      </c>
      <c r="P12" s="196">
        <v>0</v>
      </c>
      <c r="Q12" s="196">
        <v>4</v>
      </c>
      <c r="R12" s="196">
        <v>165</v>
      </c>
      <c r="S12" s="196">
        <v>2</v>
      </c>
      <c r="T12" s="196">
        <v>0</v>
      </c>
      <c r="U12" s="196">
        <v>1</v>
      </c>
      <c r="V12" s="196">
        <v>1</v>
      </c>
      <c r="W12" s="196">
        <v>0</v>
      </c>
      <c r="X12" s="202">
        <v>2</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2</v>
      </c>
      <c r="AZ12" s="137">
        <f t="shared" si="1"/>
        <v>0</v>
      </c>
      <c r="BA12" s="137">
        <f t="shared" si="1"/>
        <v>1</v>
      </c>
      <c r="BB12" s="137">
        <f t="shared" si="1"/>
        <v>1</v>
      </c>
      <c r="BC12" s="135">
        <f>IF(ISNUMBER(X12),X12," - ")</f>
        <v>2</v>
      </c>
      <c r="BD12" s="136" t="str">
        <f t="shared" si="2"/>
        <v xml:space="preserve"> - </v>
      </c>
      <c r="BE12" s="137">
        <f t="shared" si="3"/>
        <v>1</v>
      </c>
      <c r="BF12" s="137">
        <f t="shared" si="4"/>
        <v>2</v>
      </c>
      <c r="BG12" s="209">
        <f t="shared" si="5"/>
        <v>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2270</v>
      </c>
      <c r="J14" s="197">
        <f t="shared" si="7"/>
        <v>1499</v>
      </c>
      <c r="K14" s="197">
        <f t="shared" si="7"/>
        <v>1287</v>
      </c>
      <c r="L14" s="197">
        <f t="shared" si="7"/>
        <v>2482</v>
      </c>
      <c r="M14" s="197">
        <f t="shared" si="7"/>
        <v>371</v>
      </c>
      <c r="N14" s="197">
        <f t="shared" si="7"/>
        <v>667</v>
      </c>
      <c r="O14" s="197">
        <f t="shared" si="7"/>
        <v>700</v>
      </c>
      <c r="P14" s="197">
        <f t="shared" si="7"/>
        <v>394</v>
      </c>
      <c r="Q14" s="197">
        <f t="shared" si="7"/>
        <v>428</v>
      </c>
      <c r="R14" s="197">
        <f t="shared" si="7"/>
        <v>5139</v>
      </c>
      <c r="S14" s="197">
        <f t="shared" si="7"/>
        <v>2961</v>
      </c>
      <c r="T14" s="197">
        <f t="shared" si="7"/>
        <v>1360</v>
      </c>
      <c r="U14" s="197">
        <f t="shared" si="7"/>
        <v>1645</v>
      </c>
      <c r="V14" s="197">
        <f t="shared" si="7"/>
        <v>2667</v>
      </c>
      <c r="W14" s="197">
        <f t="shared" si="7"/>
        <v>406</v>
      </c>
      <c r="X14" s="197">
        <f t="shared" si="7"/>
        <v>979</v>
      </c>
      <c r="Y14" s="197">
        <f t="shared" si="7"/>
        <v>171</v>
      </c>
      <c r="Z14" s="197">
        <f t="shared" si="7"/>
        <v>256</v>
      </c>
      <c r="AA14" s="197">
        <f t="shared" si="7"/>
        <v>283</v>
      </c>
      <c r="AB14" s="197">
        <f t="shared" si="7"/>
        <v>144</v>
      </c>
      <c r="AC14" s="197">
        <f t="shared" si="7"/>
        <v>0</v>
      </c>
      <c r="AD14" s="197">
        <f t="shared" si="7"/>
        <v>0</v>
      </c>
      <c r="AE14" s="197">
        <f t="shared" si="7"/>
        <v>0</v>
      </c>
      <c r="AF14" s="197">
        <f>SUBTOTAL(9,AF9:AF13)</f>
        <v>0</v>
      </c>
      <c r="AG14" s="197">
        <f t="shared" ref="AG14:AT14" si="8">SUBTOTAL(9,AG8:AG13)</f>
        <v>147</v>
      </c>
      <c r="AH14" s="197">
        <f t="shared" si="8"/>
        <v>268</v>
      </c>
      <c r="AI14" s="197">
        <f t="shared" si="8"/>
        <v>302</v>
      </c>
      <c r="AJ14" s="197">
        <f t="shared" si="8"/>
        <v>113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3108</v>
      </c>
      <c r="AZ14" s="197">
        <f>SUBTOTAL(9,AZ8:AZ13)</f>
        <v>1628</v>
      </c>
      <c r="BA14" s="197">
        <f>SUBTOTAL(9,BA8:BA13)</f>
        <v>1947</v>
      </c>
      <c r="BB14" s="197">
        <f>SUBTOTAL(9,BB8:BB13)</f>
        <v>2780</v>
      </c>
      <c r="BC14" s="197">
        <f>SUBTOTAL(9,BC8:BC13)</f>
        <v>975</v>
      </c>
      <c r="BD14" s="219">
        <f>IF(ISNUMBER(BA14/AZ14),BA14/AZ14," - ")</f>
        <v>1.1959459459459461</v>
      </c>
      <c r="BE14" s="220">
        <f>IF(ISNUMBER(BB14/BA14),BB14/BA14, " - ")</f>
        <v>1.4278376990241397</v>
      </c>
      <c r="BF14" s="220">
        <f>IF(ISNUMBER(BC14/BA14),BC14/BA14, " - ")</f>
        <v>0.50077041602465333</v>
      </c>
      <c r="BG14" s="221">
        <f>IF(ISNUMBER((AY14+AZ14)/BA14),(AY14+AZ14)/BA14," - ")</f>
        <v>2.4324601951720597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1161</v>
      </c>
      <c r="J16" s="196">
        <v>880</v>
      </c>
      <c r="K16" s="196">
        <v>1024</v>
      </c>
      <c r="L16" s="196">
        <v>954</v>
      </c>
      <c r="M16" s="196">
        <v>214</v>
      </c>
      <c r="N16" s="196">
        <v>506</v>
      </c>
      <c r="O16" s="194">
        <v>36</v>
      </c>
      <c r="P16" s="196">
        <v>64</v>
      </c>
      <c r="Q16" s="196">
        <v>68</v>
      </c>
      <c r="R16" s="196">
        <v>339</v>
      </c>
      <c r="S16" s="196">
        <v>1509</v>
      </c>
      <c r="T16" s="196">
        <v>770</v>
      </c>
      <c r="U16" s="196">
        <v>1078</v>
      </c>
      <c r="V16" s="196">
        <v>1201</v>
      </c>
      <c r="W16" s="196">
        <v>201</v>
      </c>
      <c r="X16" s="202">
        <v>641</v>
      </c>
      <c r="Y16" s="215">
        <v>0</v>
      </c>
      <c r="Z16" s="196">
        <v>0</v>
      </c>
      <c r="AA16" s="196">
        <v>0</v>
      </c>
      <c r="AB16" s="196">
        <v>0</v>
      </c>
      <c r="AC16" s="196">
        <v>0</v>
      </c>
      <c r="AD16" s="196">
        <v>0</v>
      </c>
      <c r="AE16" s="196">
        <v>0</v>
      </c>
      <c r="AF16" s="202">
        <v>0</v>
      </c>
      <c r="AG16" s="215">
        <v>0</v>
      </c>
      <c r="AH16" s="196">
        <v>0</v>
      </c>
      <c r="AI16" s="196">
        <v>0</v>
      </c>
      <c r="AJ16" s="216">
        <v>0</v>
      </c>
      <c r="AK16" s="195">
        <v>0</v>
      </c>
      <c r="AL16" s="196">
        <v>6</v>
      </c>
      <c r="AM16" s="196">
        <v>6</v>
      </c>
      <c r="AN16" s="202">
        <v>0</v>
      </c>
      <c r="AO16" s="283">
        <v>3</v>
      </c>
      <c r="AP16" s="168">
        <v>3</v>
      </c>
      <c r="AQ16" s="168">
        <v>3</v>
      </c>
      <c r="AR16" s="168">
        <v>3</v>
      </c>
      <c r="AS16" s="381" t="s">
        <v>697</v>
      </c>
      <c r="AT16" s="216" t="s">
        <v>420</v>
      </c>
      <c r="AU16" s="215"/>
      <c r="AV16" s="216"/>
      <c r="AW16" s="215"/>
      <c r="AX16" s="216"/>
      <c r="AY16" s="138">
        <f t="shared" ref="AY16:BB17" si="10">IF(ISNUMBER(IF(D_I="SI",S16,S16+AK16)),IF(D_I="SI",S16,S16+AK16)," - ")</f>
        <v>1509</v>
      </c>
      <c r="AZ16" s="139">
        <f t="shared" si="10"/>
        <v>770</v>
      </c>
      <c r="BA16" s="139">
        <f t="shared" si="10"/>
        <v>1078</v>
      </c>
      <c r="BB16" s="139">
        <f t="shared" si="10"/>
        <v>1201</v>
      </c>
      <c r="BC16" s="135">
        <f>IF(ISNUMBER(W16),W16," - ")</f>
        <v>201</v>
      </c>
      <c r="BD16" s="136">
        <f>IF(ISNUMBER(BA16/AZ16),BA16/AZ16," - ")</f>
        <v>1.4</v>
      </c>
      <c r="BE16" s="137">
        <f>IF(ISNUMBER(BB16/BA16),BB16/BA16, " - ")</f>
        <v>1.1141001855287569</v>
      </c>
      <c r="BF16" s="137">
        <f>IF(ISNUMBER(BC16/BA16),BC16/BA16, " - ")</f>
        <v>0.18645640074211503</v>
      </c>
      <c r="BG16" s="209">
        <f t="shared" ref="BG16:BG22" si="11">IF(ISNUMBER((AY16+AZ16)/BA16),(AY16+AZ16)/BA16," - ")</f>
        <v>2.1141001855287569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56</v>
      </c>
      <c r="J18" s="196">
        <v>72</v>
      </c>
      <c r="K18" s="196">
        <v>69</v>
      </c>
      <c r="L18" s="196">
        <v>55</v>
      </c>
      <c r="M18" s="196">
        <v>14</v>
      </c>
      <c r="N18" s="196">
        <v>35</v>
      </c>
      <c r="O18" s="196">
        <v>3</v>
      </c>
      <c r="P18" s="196">
        <v>3</v>
      </c>
      <c r="Q18" s="196">
        <v>3</v>
      </c>
      <c r="R18" s="196">
        <v>3</v>
      </c>
      <c r="S18" s="196">
        <v>59</v>
      </c>
      <c r="T18" s="196">
        <v>81</v>
      </c>
      <c r="U18" s="196">
        <v>82</v>
      </c>
      <c r="V18" s="196">
        <v>58</v>
      </c>
      <c r="W18" s="196">
        <v>20</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1060</v>
      </c>
      <c r="AT18" s="223"/>
      <c r="AU18" s="213"/>
      <c r="AV18" s="223"/>
      <c r="AW18" s="213"/>
      <c r="AX18" s="223"/>
      <c r="AY18" s="138">
        <f t="shared" ref="AY18:BB19" si="15">IF(ISNUMBER(S18),S18," - ")</f>
        <v>59</v>
      </c>
      <c r="AZ18" s="139">
        <f t="shared" si="15"/>
        <v>81</v>
      </c>
      <c r="BA18" s="139">
        <f t="shared" si="15"/>
        <v>82</v>
      </c>
      <c r="BB18" s="139">
        <f t="shared" si="15"/>
        <v>58</v>
      </c>
      <c r="BC18" s="135">
        <f>IF(ISNUMBER(W18),W18," - ")</f>
        <v>20</v>
      </c>
      <c r="BD18" s="136">
        <f>IF(ISNUMBER(BA18/AZ18),BA18/AZ18," - ")</f>
        <v>1.0123456790123457</v>
      </c>
      <c r="BE18" s="137">
        <f>IF(ISNUMBER(BB18/BA18),BB18/BA18, " - ")</f>
        <v>0.70731707317073167</v>
      </c>
      <c r="BF18" s="137">
        <f>IF(ISNUMBER(BC18/BA18),BC18/BA18, " - ")</f>
        <v>0.24390243902439024</v>
      </c>
      <c r="BG18" s="209">
        <f>IF(ISNUMBER((AY18+AZ18)/BA18),(AY18+AZ18)/BA18," - ")</f>
        <v>1.7073170731707317</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1217</v>
      </c>
      <c r="J23" s="197">
        <f t="shared" si="21"/>
        <v>952</v>
      </c>
      <c r="K23" s="197">
        <f t="shared" si="21"/>
        <v>1093</v>
      </c>
      <c r="L23" s="197">
        <f t="shared" si="21"/>
        <v>1009</v>
      </c>
      <c r="M23" s="197">
        <f t="shared" si="21"/>
        <v>228</v>
      </c>
      <c r="N23" s="197">
        <f t="shared" si="21"/>
        <v>541</v>
      </c>
      <c r="O23" s="197">
        <f t="shared" si="21"/>
        <v>39</v>
      </c>
      <c r="P23" s="197">
        <f t="shared" si="21"/>
        <v>67</v>
      </c>
      <c r="Q23" s="197">
        <f t="shared" si="21"/>
        <v>71</v>
      </c>
      <c r="R23" s="197">
        <f t="shared" si="21"/>
        <v>342</v>
      </c>
      <c r="S23" s="197">
        <f t="shared" si="21"/>
        <v>1568</v>
      </c>
      <c r="T23" s="197">
        <f t="shared" si="21"/>
        <v>851</v>
      </c>
      <c r="U23" s="197">
        <f t="shared" si="21"/>
        <v>1160</v>
      </c>
      <c r="V23" s="197">
        <f t="shared" si="21"/>
        <v>1259</v>
      </c>
      <c r="W23" s="197">
        <f t="shared" si="21"/>
        <v>221</v>
      </c>
      <c r="X23" s="197">
        <f t="shared" si="21"/>
        <v>674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1568</v>
      </c>
      <c r="AZ23" s="197">
        <f>SUBTOTAL(9,AZ15:AZ22)</f>
        <v>851</v>
      </c>
      <c r="BA23" s="197">
        <f>SUBTOTAL(9,BA15:BA22)</f>
        <v>1160</v>
      </c>
      <c r="BB23" s="197">
        <f>SUBTOTAL(9,BB15:BB22)</f>
        <v>1259</v>
      </c>
      <c r="BC23" s="197">
        <f>SUBTOTAL(9,BC15:BC22)</f>
        <v>221</v>
      </c>
      <c r="BD23" s="219">
        <f>IF(ISNUMBER(BA23/AZ23),BA23/AZ23," - ")</f>
        <v>1.36310223266745</v>
      </c>
      <c r="BE23" s="220">
        <f>IF(ISNUMBER(BB23/BA23),BB23/BA23, " - ")</f>
        <v>1.085344827586207</v>
      </c>
      <c r="BF23" s="220">
        <f>IF(ISNUMBER(BC23/BA23),BC23/BA23, " - ")</f>
        <v>0.19051724137931034</v>
      </c>
      <c r="BG23" s="221">
        <f>IF(ISNUMBER((AY23+AZ23)/BA23),(AY23+AZ23)/BA23," - ")</f>
        <v>2.0853448275862068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3487</v>
      </c>
      <c r="J31" s="144">
        <f t="shared" si="36"/>
        <v>2451</v>
      </c>
      <c r="K31" s="144">
        <f t="shared" si="36"/>
        <v>2380</v>
      </c>
      <c r="L31" s="144">
        <f t="shared" si="36"/>
        <v>3491</v>
      </c>
      <c r="M31" s="144">
        <f t="shared" si="36"/>
        <v>599</v>
      </c>
      <c r="N31" s="144">
        <f t="shared" si="36"/>
        <v>1208</v>
      </c>
      <c r="O31" s="144">
        <f t="shared" si="36"/>
        <v>739</v>
      </c>
      <c r="P31" s="144">
        <f t="shared" si="36"/>
        <v>461</v>
      </c>
      <c r="Q31" s="144">
        <f t="shared" si="36"/>
        <v>499</v>
      </c>
      <c r="R31" s="144">
        <f t="shared" si="36"/>
        <v>5481</v>
      </c>
      <c r="S31" s="144">
        <f t="shared" si="36"/>
        <v>4529</v>
      </c>
      <c r="T31" s="144">
        <f t="shared" si="36"/>
        <v>2211</v>
      </c>
      <c r="U31" s="144">
        <f t="shared" si="36"/>
        <v>2805</v>
      </c>
      <c r="V31" s="144">
        <f t="shared" si="36"/>
        <v>3926</v>
      </c>
      <c r="W31" s="144">
        <f t="shared" si="36"/>
        <v>627</v>
      </c>
      <c r="X31" s="144">
        <f t="shared" si="36"/>
        <v>1653</v>
      </c>
      <c r="Y31" s="144">
        <f t="shared" si="36"/>
        <v>171</v>
      </c>
      <c r="Z31" s="144">
        <f t="shared" si="36"/>
        <v>256</v>
      </c>
      <c r="AA31" s="144">
        <f t="shared" si="36"/>
        <v>283</v>
      </c>
      <c r="AB31" s="144">
        <f t="shared" si="36"/>
        <v>144</v>
      </c>
      <c r="AC31" s="144">
        <f t="shared" si="36"/>
        <v>0</v>
      </c>
      <c r="AD31" s="144">
        <f t="shared" si="36"/>
        <v>0</v>
      </c>
      <c r="AE31" s="144">
        <f t="shared" si="36"/>
        <v>0</v>
      </c>
      <c r="AF31" s="144">
        <f t="shared" si="36"/>
        <v>0</v>
      </c>
      <c r="AG31" s="144">
        <f t="shared" si="36"/>
        <v>147</v>
      </c>
      <c r="AH31" s="144">
        <f t="shared" si="36"/>
        <v>268</v>
      </c>
      <c r="AI31" s="144">
        <f t="shared" si="36"/>
        <v>302</v>
      </c>
      <c r="AJ31" s="144">
        <f t="shared" si="36"/>
        <v>113</v>
      </c>
      <c r="AK31" s="144">
        <f t="shared" si="36"/>
        <v>0</v>
      </c>
      <c r="AL31" s="144">
        <f t="shared" si="36"/>
        <v>6</v>
      </c>
      <c r="AM31" s="144">
        <f t="shared" si="36"/>
        <v>6</v>
      </c>
      <c r="AN31" s="224">
        <f t="shared" si="36"/>
        <v>0</v>
      </c>
      <c r="AO31" s="225">
        <v>9</v>
      </c>
      <c r="AP31" s="225">
        <v>8</v>
      </c>
      <c r="AQ31" s="225">
        <v>8</v>
      </c>
      <c r="AR31" s="225">
        <v>8</v>
      </c>
      <c r="AS31" s="166">
        <f t="shared" si="36"/>
        <v>0</v>
      </c>
      <c r="AT31" s="166">
        <f t="shared" si="36"/>
        <v>0</v>
      </c>
      <c r="AU31" s="225"/>
      <c r="AV31" s="226"/>
      <c r="AW31" s="225"/>
      <c r="AX31" s="226"/>
      <c r="AY31" s="143">
        <f>SUBTOTAL(9,AY9:AY30)</f>
        <v>4676</v>
      </c>
      <c r="AZ31" s="144">
        <f>SUBTOTAL(9,AZ9:AZ30)</f>
        <v>2479</v>
      </c>
      <c r="BA31" s="144">
        <f>SUBTOTAL(9,BA9:BA30)</f>
        <v>3107</v>
      </c>
      <c r="BB31" s="144">
        <f>SUBTOTAL(9,BB9:BB30)</f>
        <v>4039</v>
      </c>
      <c r="BC31" s="145">
        <f>SUBTOTAL(9,BC9:BC30)</f>
        <v>1196</v>
      </c>
      <c r="BD31" s="227">
        <f>IF(ISNUMBER(BA31/AZ31),BA31/AZ31," - ")</f>
        <v>1.2533279548204921</v>
      </c>
      <c r="BE31" s="224">
        <f>IF(ISNUMBER(BB31/BA31),BB31/BA31, " - ")</f>
        <v>1.299967814612166</v>
      </c>
      <c r="BF31" s="224">
        <f>IF(ISNUMBER(BC31/BA31),BC31/BA31, " - ")</f>
        <v>0.38493723849372385</v>
      </c>
      <c r="BG31" s="145">
        <f>IF(ISNUMBER((AY31+AZ31)/BA31),(AY31+AZ31)/BA31," - ")</f>
        <v>2.3028644995172192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ZEhfCISDums6RDGrICQu87PYGWCHpqR7Bcrdg/yFijQH2wLA+5VcANOdPAUBMySecKERATCulqZ/xOSx6bW2A==" saltValue="ihBYIgFRVV570a6HPX6A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E6+ALquLkAAaMGtQyG2QPU2Wg1nvBMb9IA0WX1xLu3obwlQoND9kQ0ziQJPgni2dQW3XOclCJBLeHfQoBqqKw==" saltValue="0p0UkTSm0cTaLBrPRxdp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PONTEVEDRA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4</v>
      </c>
      <c r="B9" s="745" t="s">
        <v>317</v>
      </c>
      <c r="C9" s="765" t="str">
        <f>Datos!A9</f>
        <v xml:space="preserve">Jdos. 1ª Instancia   </v>
      </c>
      <c r="D9" s="593"/>
      <c r="E9" s="764">
        <f>IF(ISNUMBER(Datos!AQ9),Datos!AQ9," - ")</f>
        <v>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92</v>
      </c>
      <c r="O9" s="549"/>
      <c r="P9" s="549"/>
      <c r="Q9" s="547">
        <f>IF(ISNUMBER(Datos!P9),Datos!P9,0)</f>
        <v>345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328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51</v>
      </c>
      <c r="AI9" s="549" t="str">
        <f>IF(ISNUMBER(Datos!CD9),Datos!CD9,"-")</f>
        <v>-</v>
      </c>
      <c r="AJ9" s="549" t="str">
        <f>IF(ISNUMBER(Datos!EN9),Datos!EN9," - ")</f>
        <v xml:space="preserve"> - </v>
      </c>
      <c r="AK9" s="549"/>
      <c r="AL9" s="550"/>
      <c r="AM9" s="766">
        <f>IF(ISNUMBER(Datos!R9),Datos!R9," - ")</f>
        <v>4420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276</v>
      </c>
      <c r="BD9" s="693">
        <f>IF(ISNUMBER(Datos!N9),Datos!N9," - ")</f>
        <v>427</v>
      </c>
      <c r="BE9" s="693" t="str">
        <f>IF(ISNUMBER(Datos!BW9),Datos!BW9," - ")</f>
        <v xml:space="preserve"> - </v>
      </c>
      <c r="BF9" s="762" t="str">
        <f>IF(ISNUMBER(Datos!BX9),Datos!BX9," - ")</f>
        <v xml:space="preserve"> - </v>
      </c>
      <c r="BG9" s="763">
        <f>IF(ISNUMBER(IF(J_V="SI",Datos!K9/Datos!J9,(Datos!K9+Datos!AA9)/(Datos!J9+Datos!Z9))),IF(J_V="SI",Datos!K9/Datos!J9,(Datos!K9+Datos!AA9)/(Datos!J9+Datos!Z9))," - ")</f>
        <v>0.88854489164086692</v>
      </c>
      <c r="BH9" s="764">
        <f>IF(ISNUMBER(((IF(J_V="SI",Datos!L9/Datos!K9,(Datos!L9+Datos!AB9)/(Datos!K9+Datos!AA9)))*11)/factor_trimestre),((IF(J_V="SI",Datos!L9/Datos!K9,(Datos!L9+Datos!AB9)/(Datos!K9+Datos!AA9)))*11)/factor_trimestre," - ")</f>
        <v>5.4642857142857144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3.8610038610038611E-3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1</v>
      </c>
      <c r="AD10" s="549"/>
      <c r="AE10" s="563"/>
      <c r="AF10" s="551">
        <f>IF(ISNUMBER(Datos!L10),Datos!L10,"-")</f>
        <v>31</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5</v>
      </c>
      <c r="BE10" s="693" t="str">
        <f>IF(ISNUMBER(Datos!BW10),Datos!BW10," - ")</f>
        <v xml:space="preserve"> - </v>
      </c>
      <c r="BF10" s="762" t="str">
        <f>IF(ISNUMBER(Datos!BX10),Datos!BX10," - ")</f>
        <v xml:space="preserve"> - </v>
      </c>
      <c r="BG10" s="763">
        <f>IF(ISNUMBER(Datos!K10/Datos!J10),Datos!K10/Datos!J10," - ")</f>
        <v>1.2727272727272727</v>
      </c>
      <c r="BH10" s="764">
        <f>IF(ISNUMBER(((Datos!L10/Datos!K10)*11)/factor_trimestre),((Datos!L10/Datos!K10)*11)/factor_trimestre," - ")</f>
        <v>6.6428571428571432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4.9180327868852458E-2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164</v>
      </c>
      <c r="O11" s="549"/>
      <c r="P11" s="549"/>
      <c r="Q11" s="547">
        <f>IF(ISNUMBER(Datos!P11),Datos!P11,0)</f>
        <v>45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95</v>
      </c>
      <c r="AD11" s="549"/>
      <c r="AE11" s="563"/>
      <c r="AF11" s="551" t="str">
        <f>IF(ISNUMBER(IF(J_V="SI",Datos!L11,Datos!L11+Datos!AB11)-IF(Monitorios="SI",Datos!CD11,0)),
                          IF(J_V="SI",Datos!L11,Datos!L11+Datos!AB11)-IF(Monitorios="SI",Datos!CD11,0),
                          " - ")</f>
        <v xml:space="preserve"> - </v>
      </c>
      <c r="AG11" s="549"/>
      <c r="AH11" s="549">
        <f>IF(ISNUMBER(Datos!AB11),Datos!AB11,"-")</f>
        <v>93</v>
      </c>
      <c r="AI11" s="549"/>
      <c r="AJ11" s="549"/>
      <c r="AK11" s="549"/>
      <c r="AL11" s="550"/>
      <c r="AM11" s="766">
        <f>IF(ISNUMBER(Datos!R11),Datos!R11," - ")</f>
        <v>490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89</v>
      </c>
      <c r="BD11" s="693">
        <f>IF(ISNUMBER(Datos!N11),Datos!N11," - ")</f>
        <v>234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0.9044444444444445</v>
      </c>
      <c r="BH11" s="764">
        <f>IF(ISNUMBER(((IF(J_V="SI",Datos!L11/Datos!K11,(Datos!L11+Datos!AB11)/(Datos!K11+Datos!AA11)))*11)/factor_trimestre),((IF(J_V="SI",Datos!L11/Datos!K11,(Datos!L11+Datos!AB11)/(Datos!K11+Datos!AA11)))*11)/factor_trimestre," - ")</f>
        <v>3.7002457002457008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-9.2592592592592587E-2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v>
      </c>
      <c r="BH12" s="764">
        <f>IF(ISNUMBER(((IF(J_V="SI",Datos!L12/Datos!K12,(Datos!L12+Datos!AB12)/(Datos!K12+Datos!AA12)))*11)/factor_trimestre),((IF(J_V="SI",Datos!L12/Datos!K12,(Datos!L12+Datos!AB12)/(Datos!K12+Datos!AA12)))*11)/factor_trimestre," - ")</f>
        <v>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-2.3668639053254437E-2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256</v>
      </c>
      <c r="O14" s="1199">
        <f t="shared" si="1"/>
        <v>0</v>
      </c>
      <c r="P14" s="1199">
        <f t="shared" si="1"/>
        <v>0</v>
      </c>
      <c r="Q14" s="1198">
        <f t="shared" si="1"/>
        <v>394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428</v>
      </c>
      <c r="AD14" s="1198">
        <f t="shared" si="2"/>
        <v>0</v>
      </c>
      <c r="AE14" s="1198">
        <f t="shared" si="2"/>
        <v>0</v>
      </c>
      <c r="AF14" s="1198">
        <f t="shared" si="2"/>
        <v>31</v>
      </c>
      <c r="AG14" s="1198">
        <f t="shared" si="2"/>
        <v>0</v>
      </c>
      <c r="AH14" s="1198">
        <f t="shared" si="2"/>
        <v>144</v>
      </c>
      <c r="AI14" s="1198">
        <f t="shared" si="2"/>
        <v>0</v>
      </c>
      <c r="AJ14" s="1198">
        <f t="shared" si="2"/>
        <v>0</v>
      </c>
      <c r="AK14" s="1198">
        <f t="shared" si="2"/>
        <v>0</v>
      </c>
      <c r="AL14" s="1198">
        <f t="shared" si="2"/>
        <v>0</v>
      </c>
      <c r="AM14" s="1198">
        <f t="shared" si="2"/>
        <v>5139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371</v>
      </c>
      <c r="BD14" s="1198">
        <f t="shared" si="2"/>
        <v>667</v>
      </c>
      <c r="BE14" s="1198">
        <f t="shared" si="2"/>
        <v>0</v>
      </c>
      <c r="BF14" s="1198">
        <f t="shared" si="2"/>
        <v>0</v>
      </c>
      <c r="BG14" s="1198">
        <f>IF(ISNUMBER(Datos!K14/Datos!J14),Datos!K14/Datos!J14," - ")</f>
        <v>0.8585723815877252</v>
      </c>
      <c r="BH14" s="1202">
        <f>IF(ISNUMBER(((Datos!L14/Datos!K14)*11)/factor_trimestre),((Datos!L14/Datos!K14)*11)/factor_trimestre," - ")</f>
        <v>5.7855477855477853</v>
      </c>
      <c r="BI14" s="1198">
        <f>IF(ISNUMBER('Resol  Asuntos'!D14/NºAsuntos!G14),'Resol  Asuntos'!D14/NºAsuntos!G14," - ")</f>
        <v>0.23630573248407644</v>
      </c>
      <c r="BJ14" s="1198" t="str">
        <f>IF(ISNUMBER(Datos!CI14/Datos!CJ14),Datos!CI14/Datos!CJ14," - ")</f>
        <v xml:space="preserve"> - </v>
      </c>
      <c r="BK14" s="1198">
        <f>SUBTOTAL(9,BK8:BK13)</f>
        <v>0</v>
      </c>
      <c r="BL14" s="1198">
        <f>IF(ISNUMBER((I14-AB14+L14)/(F14)),(I14-AB14+L14)/(F14)," - ")</f>
        <v>-0.41176470588235292</v>
      </c>
      <c r="BM14" s="1203">
        <f>SUBTOTAL(9,BM9:BM13)</f>
        <v>-6.321989991599071E-2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1098</v>
      </c>
      <c r="G16" s="743">
        <f>IF(ISNUMBER(IF(D_I="SI",Datos!I16,Datos!I16+Datos!AC16)),IF(D_I="SI",Datos!I16,Datos!I16+Datos!AC16)," - ")</f>
        <v>1161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1024</v>
      </c>
      <c r="AC16" s="240">
        <f>IF(ISNUMBER(Datos!Q16),Datos!Q16," - ")</f>
        <v>68</v>
      </c>
      <c r="AD16" s="374"/>
      <c r="AE16" s="562"/>
      <c r="AF16" s="741">
        <f>IF(ISNUMBER(IF(D_I="SI",Datos!L16,Datos!L16+Datos!AF16)),IF(D_I="SI",Datos!L16,Datos!L16+Datos!AF16)," - ")</f>
        <v>954</v>
      </c>
      <c r="AG16" s="374"/>
      <c r="AH16" s="374"/>
      <c r="AI16" s="374"/>
      <c r="AJ16" s="549"/>
      <c r="AK16" s="374"/>
      <c r="AL16" s="545"/>
      <c r="AM16" s="375">
        <f>IF(ISNUMBER(Datos!R16),Datos!R16," - ")</f>
        <v>339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214</v>
      </c>
      <c r="BD16" s="243">
        <f>IF(ISNUMBER(Datos!N16),Datos!N16," - ")</f>
        <v>506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1.1636363636363636</v>
      </c>
      <c r="BH16" s="764">
        <f>IF(ISNUMBER(((IF(D_I="SI",Datos!L16/Datos!K16,(Datos!L16+Datos!AF16)/(Datos!K16+Datos!AE16)))*11)/factor_trimestre),((IF(D_I="SI",Datos!L16/Datos!K16,(Datos!L16+Datos!AF16)/(Datos!K16+Datos!AE16)))*11)/factor_trimestre," - ")</f>
        <v>2.794921875</v>
      </c>
      <c r="BI16" s="266">
        <f>IF(ISNUMBER('Resol  Asuntos'!D16/NºAsuntos!G16),'Resol  Asuntos'!D16/NºAsuntos!G16," - ")</f>
        <v>0.208984375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v>
      </c>
      <c r="AC18" s="547">
        <f>IF(ISNUMBER(Datos!Q18),Datos!Q18," - ")</f>
        <v>3</v>
      </c>
      <c r="AD18" s="549"/>
      <c r="AE18" s="562"/>
      <c r="AF18" s="551">
        <f>IF(ISNUMBER(Datos!L18),Datos!L18,"-")</f>
        <v>55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0.95833333333333337</v>
      </c>
      <c r="BH18" s="764">
        <f>IF(ISNUMBER(((IF(D_I="SI",Datos!L18/Datos!K18,(Datos!L18+Datos!AF18)/(Datos!K18+Datos!AE18)))*11)/factor_trimestre),((IF(D_I="SI",Datos!L18/Datos!K18,(Datos!L18+Datos!AF18)/(Datos!K18+Datos!AE18)))*11)/factor_trimestre," - ")</f>
        <v>2.3913043478260869</v>
      </c>
      <c r="BI18" s="763">
        <f>IF(ISNUMBER('Resol  Asuntos'!D18/NºAsuntos!G18),'Resol  Asuntos'!D18/NºAsuntos!G18," - ")</f>
        <v>0.20289855072463769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1098</v>
      </c>
      <c r="G23" s="1197">
        <f>SUBTOTAL(9,G16:G22)</f>
        <v>1217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1093</v>
      </c>
      <c r="AC23" s="1198">
        <f t="shared" si="5"/>
        <v>71</v>
      </c>
      <c r="AD23" s="1198">
        <f t="shared" si="5"/>
        <v>0</v>
      </c>
      <c r="AE23" s="1198">
        <f t="shared" si="5"/>
        <v>0</v>
      </c>
      <c r="AF23" s="1198">
        <f t="shared" si="5"/>
        <v>1009</v>
      </c>
      <c r="AG23" s="1198">
        <f t="shared" si="5"/>
        <v>0</v>
      </c>
      <c r="AH23" s="1198">
        <f t="shared" si="5"/>
        <v>0</v>
      </c>
      <c r="AI23" s="1198">
        <f t="shared" si="5"/>
        <v>0</v>
      </c>
      <c r="AJ23" s="1198">
        <f t="shared" si="5"/>
        <v>0</v>
      </c>
      <c r="AK23" s="1198">
        <f t="shared" si="5"/>
        <v>0</v>
      </c>
      <c r="AL23" s="1198">
        <f t="shared" si="5"/>
        <v>0</v>
      </c>
      <c r="AM23" s="1198">
        <f t="shared" si="5"/>
        <v>342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228</v>
      </c>
      <c r="BD23" s="1198">
        <f t="shared" si="5"/>
        <v>541</v>
      </c>
      <c r="BE23" s="1198">
        <f t="shared" si="5"/>
        <v>0</v>
      </c>
      <c r="BF23" s="1198">
        <f t="shared" si="5"/>
        <v>0</v>
      </c>
      <c r="BG23" s="1198">
        <f>IF(ISNUMBER(Datos!K23/Datos!J23),Datos!K23/Datos!J23," - ")</f>
        <v>1.1481092436974789</v>
      </c>
      <c r="BH23" s="1202">
        <f>IF(ISNUMBER(((Datos!L23/Datos!K23)*11)/factor_trimestre),((Datos!L23/Datos!K23)*11)/factor_trimestre," - ")</f>
        <v>2.7694419030192137</v>
      </c>
      <c r="BI23" s="1198">
        <f>SUBTOTAL(9,BI16:BI22)</f>
        <v>0.41188292572463769</v>
      </c>
      <c r="BJ23" s="1198">
        <f>SUBTOTAL(9,BJ16:BJ22)</f>
        <v>0</v>
      </c>
      <c r="BK23" s="1198">
        <f>SUBTOTAL(9,BK16:BK22)</f>
        <v>0</v>
      </c>
      <c r="BL23" s="1198">
        <f>IF(ISNUMBER((I23-AB23+L23)/(F23)),(I23-AB23+L23)/(F23)," - ")</f>
        <v>-0.99544626593806917</v>
      </c>
      <c r="BM23" s="1205">
        <f>IF(ISNUMBER((Datos!P23-Datos!Q23)/(Datos!R23-Datos!P23+Datos!Q23)),(Datos!P23-Datos!Q23)/(Datos!R23-Datos!P23+Datos!Q23)," - ")</f>
        <v>-1.1560693641618497E-2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1132</v>
      </c>
      <c r="G31" s="1117">
        <f t="shared" si="18"/>
        <v>1251</v>
      </c>
      <c r="H31" s="1119">
        <f t="shared" si="18"/>
        <v>0</v>
      </c>
      <c r="I31" s="1117">
        <f t="shared" si="18"/>
        <v>0</v>
      </c>
      <c r="J31" s="1119">
        <f t="shared" si="18"/>
        <v>0</v>
      </c>
      <c r="K31" s="1119">
        <f t="shared" si="18"/>
        <v>0</v>
      </c>
      <c r="L31" s="1180">
        <f t="shared" si="18"/>
        <v>0</v>
      </c>
      <c r="M31" s="1180">
        <f t="shared" si="18"/>
        <v>0</v>
      </c>
      <c r="N31" s="1180">
        <f t="shared" si="18"/>
        <v>256</v>
      </c>
      <c r="O31" s="1180">
        <f t="shared" si="18"/>
        <v>0</v>
      </c>
      <c r="P31" s="1180">
        <f t="shared" si="18"/>
        <v>0</v>
      </c>
      <c r="Q31" s="1119">
        <f t="shared" si="18"/>
        <v>461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1107</v>
      </c>
      <c r="AC31" s="1118">
        <f t="shared" si="19"/>
        <v>499</v>
      </c>
      <c r="AD31" s="1118">
        <f t="shared" si="19"/>
        <v>0</v>
      </c>
      <c r="AE31" s="1118">
        <f t="shared" si="19"/>
        <v>0</v>
      </c>
      <c r="AF31" s="1125">
        <f t="shared" si="19"/>
        <v>1040</v>
      </c>
      <c r="AG31" s="1125">
        <f t="shared" si="19"/>
        <v>0</v>
      </c>
      <c r="AH31" s="1125">
        <f t="shared" si="19"/>
        <v>144</v>
      </c>
      <c r="AI31" s="1125">
        <f t="shared" si="19"/>
        <v>0</v>
      </c>
      <c r="AJ31" s="1118">
        <f t="shared" si="19"/>
        <v>0</v>
      </c>
      <c r="AK31" s="1125">
        <f t="shared" si="19"/>
        <v>0</v>
      </c>
      <c r="AL31" s="1125">
        <f t="shared" si="19"/>
        <v>0</v>
      </c>
      <c r="AM31" s="1125">
        <f t="shared" si="19"/>
        <v>5481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599</v>
      </c>
      <c r="BD31" s="1117">
        <f t="shared" si="19"/>
        <v>1208</v>
      </c>
      <c r="BE31" s="1117">
        <f t="shared" si="19"/>
        <v>0</v>
      </c>
      <c r="BF31" s="1127">
        <f t="shared" si="19"/>
        <v>0</v>
      </c>
      <c r="BG31" s="1223">
        <f>IF(ISNUMBER(Datos!K31/Datos!J31),Datos!K31/Datos!J31," - ")</f>
        <v>0.97103223174214603</v>
      </c>
      <c r="BH31" s="1223">
        <f>IF(ISNUMBER(((Datos!L31/Datos!K31)*11)/factor_trimestre),((Datos!L31/Datos!K31)*11)/factor_trimestre," - ")</f>
        <v>4.4004201680672264</v>
      </c>
      <c r="BI31" s="1103">
        <f>IF(ISNUMBER(Datos!J31/Datos!I31),Datos!J31/Datos!I31," - ")</f>
        <v>0.70289647261256094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-0.97791519434628971</v>
      </c>
      <c r="BM31" s="1188">
        <f>IF(ISNUMBER((Datos!P31-Datos!Q31+R31)/(Datos!R31-Datos!P31+Datos!Q31-R31)),(Datos!P31-Datos!Q31+R31)/(Datos!R31-Datos!P31+Datos!Q31-R31)," - ")</f>
        <v>-6.8853053089327773E-3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1.6077298658784152</v>
      </c>
      <c r="F33" s="673">
        <f>IF(ISNUMBER(STDEV(F8:F30)),STDEV(F8:F30),"-")</f>
        <v>558.43304582256474</v>
      </c>
      <c r="G33" s="674">
        <f>IF(ISNUMBER(STDEV(G8:G30)),STDEV(G8:G30),"-")</f>
        <v>568.6492349251447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507.95692543289346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139.93236461471901</v>
      </c>
      <c r="BD33" s="673"/>
      <c r="BE33" s="673">
        <f>IF(ISNUMBER(STDEV(BE8:BE30)),STDEV(BE8:BE30),"-")</f>
        <v>0</v>
      </c>
      <c r="BF33" s="678">
        <f>IF(ISNUMBER(STDEV(BF8:BF30)),STDEV(BF8:BF30),"-")</f>
        <v>0</v>
      </c>
      <c r="BG33" s="1052">
        <f>IF(ISNUMBER(STDEV(BG8:BG30)),STDEV(BG8:BG30),"-")</f>
        <v>0.24044838781053166</v>
      </c>
      <c r="BH33" s="1058">
        <f>IF(ISNUMBER(STDEV(BH8:BH30)),STDEV(BH8:BH30),"-")</f>
        <v>1.7065911751855212</v>
      </c>
      <c r="BI33" s="273">
        <f>IF(ISNUMBER(STDEV(BI8:BI30)),STDEV(BI8:BI30),"-")</f>
        <v>9.8981974491791413E-2</v>
      </c>
      <c r="BJ33" s="244" t="str">
        <f>IF(ISNUMBER(BL33/BM33),BL33/BM33," - ")</f>
        <v xml:space="preserve"> - </v>
      </c>
      <c r="BK33" s="709"/>
      <c r="BL33" s="681">
        <f>IF(ISNUMBER(STDEV(BL8:BL30)),STDEV(BL8:BL30),"-")</f>
        <v>0.41272518916894035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yyh0srEZCE4Ta0vTCU9EprYdAlUTRVJiDsiIkNVcHwpmWn0t1Ep2S7cDaENODrnovMF29J69aBLMGhs+UafwQ==" saltValue="jRHAkTXOPtp3iZYb4Z7e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PONTEVEDRA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1 al 1</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328</v>
      </c>
      <c r="AA9" s="551" t="str">
        <f>IF(ISNUMBER(IF(J_V="SI",Datos!L9,Datos!L9+Datos!AB9)-IF(Monitorios="SI",Datos!CD9,0)),
                          IF(J_V="SI",Datos!L9,Datos!L9+Datos!AB9)-IF(Monitorios="SI",Datos!CD9,0),
                          " - ")</f>
        <v xml:space="preserve"> - </v>
      </c>
      <c r="AB9" s="549"/>
      <c r="AC9" s="549"/>
      <c r="AD9" s="563"/>
      <c r="AE9" s="563">
        <f>IF(ISNUMBER(Datos!R9),Datos!R9," - ")</f>
        <v>4420</v>
      </c>
      <c r="AF9" s="693" t="str">
        <f>IF(ISNUMBER(Datos!BV9),Datos!BV9," - ")</f>
        <v xml:space="preserve"> - </v>
      </c>
      <c r="AG9" s="552" t="str">
        <f>IF(ISNUMBER(Datos!DV9),Datos!DV9," - ")</f>
        <v xml:space="preserve"> - </v>
      </c>
      <c r="AH9" s="553"/>
      <c r="AI9" s="554"/>
      <c r="AJ9" s="552">
        <f>IF(ISNUMBER(Datos!M9),Datos!M9," - ")</f>
        <v>276</v>
      </c>
      <c r="AK9" s="693">
        <f>IF(ISNUMBER(Datos!N9),Datos!N9," - ")</f>
        <v>427</v>
      </c>
      <c r="AL9" s="693" t="str">
        <f>IF(ISNUMBER(Datos!BW9),Datos!BW9," - ")</f>
        <v xml:space="preserve"> - </v>
      </c>
      <c r="AM9" s="762" t="str">
        <f>IF(ISNUMBER(Datos!BX9),Datos!BX9," - ")</f>
        <v xml:space="preserve"> - </v>
      </c>
      <c r="AN9" s="763"/>
      <c r="AO9" s="764">
        <f>IF(ISNUMBER(((NºAsuntos!I9/NºAsuntos!G9)*11)/factor_trimestre),((NºAsuntos!I9/NºAsuntos!G9)*11)/factor_trimestre," - ")</f>
        <v>5.4642857142857144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3.8610038610038611E-3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1</v>
      </c>
      <c r="AA10" s="551">
        <f>IF(ISNUMBER(Datos!L10),Datos!L10,"-")</f>
        <v>31</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6</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6.6428571428571432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4.9180327868852458E-2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95</v>
      </c>
      <c r="AA11" s="551" t="str">
        <f>IF(ISNUMBER(IF(J_V="SI",Datos!L11,Datos!L11+Datos!AB11)-IF(Monitorios="SI",Datos!CD11,0)),
                          IF(J_V="SI",Datos!L11,Datos!L11+Datos!AB11)-IF(Monitorios="SI",Datos!CD11,0),
                          " - ")</f>
        <v xml:space="preserve"> - </v>
      </c>
      <c r="AB11" s="549"/>
      <c r="AC11" s="549"/>
      <c r="AD11" s="563"/>
      <c r="AE11" s="563">
        <f>IF(ISNUMBER(Datos!R11),Datos!R11," - ")</f>
        <v>490</v>
      </c>
      <c r="AF11" s="693" t="str">
        <f>IF(ISNUMBER(Datos!BV11),Datos!BV11," - ")</f>
        <v xml:space="preserve"> - </v>
      </c>
      <c r="AG11" s="552" t="str">
        <f>IF(ISNUMBER(Datos!DV11),Datos!DV11," - ")</f>
        <v xml:space="preserve"> - </v>
      </c>
      <c r="AH11" s="553"/>
      <c r="AI11" s="554"/>
      <c r="AJ11" s="552">
        <f>IF(ISNUMBER(Datos!M11),Datos!M11," - ")</f>
        <v>89</v>
      </c>
      <c r="AK11" s="693">
        <f>IF(ISNUMBER(Datos!N11),Datos!N11," - ")</f>
        <v>234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3.7002457002457008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-9.2592592592592587E-2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v>
      </c>
      <c r="AA12" s="551" t="str">
        <f>IF(ISNUMBER(IF(J_V="SI",Datos!L12,Datos!L12+Datos!AB12)-IF(Monitorios="SI",Datos!CD12,0)),
                          IF(J_V="SI",Datos!L12,Datos!L12+Datos!AB12)-IF(Monitorios="SI",Datos!CD12,0),
                          " - ")</f>
        <v xml:space="preserve"> - </v>
      </c>
      <c r="AB12" s="549"/>
      <c r="AC12" s="549"/>
      <c r="AD12" s="563"/>
      <c r="AE12" s="563">
        <f>IF(ISNUMBER(Datos!R12),Datos!R12," - ")</f>
        <v>165</v>
      </c>
      <c r="AF12" s="693" t="str">
        <f>IF(ISNUMBER(Datos!BV12),Datos!BV12," - ")</f>
        <v xml:space="preserve"> - </v>
      </c>
      <c r="AG12" s="552" t="str">
        <f>IF(ISNUMBER(Datos!DV12),Datos!DV12," - ")</f>
        <v xml:space="preserve"> - </v>
      </c>
      <c r="AH12" s="553"/>
      <c r="AI12" s="554"/>
      <c r="AJ12" s="552">
        <f>IF(ISNUMBER(Datos!M12),Datos!M12," - ")</f>
        <v>0</v>
      </c>
      <c r="AK12" s="693">
        <f>IF(ISNUMBER(Datos!N12),Datos!N12," - ")</f>
        <v>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-2.3668639053254437E-2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394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428</v>
      </c>
      <c r="AA14" s="1199">
        <f t="shared" si="3"/>
        <v>31</v>
      </c>
      <c r="AB14" s="1199">
        <f t="shared" si="3"/>
        <v>0</v>
      </c>
      <c r="AC14" s="1199">
        <f t="shared" si="3"/>
        <v>0</v>
      </c>
      <c r="AD14" s="1199">
        <f t="shared" si="3"/>
        <v>0</v>
      </c>
      <c r="AE14" s="1199">
        <f t="shared" si="3"/>
        <v>5139</v>
      </c>
      <c r="AF14" s="1211">
        <f t="shared" si="3"/>
        <v>0</v>
      </c>
      <c r="AG14" s="1211">
        <f t="shared" si="3"/>
        <v>0</v>
      </c>
      <c r="AH14" s="1211">
        <f t="shared" si="3"/>
        <v>0</v>
      </c>
      <c r="AI14" s="1211">
        <f t="shared" si="3"/>
        <v>0</v>
      </c>
      <c r="AJ14" s="1211">
        <f t="shared" si="3"/>
        <v>371</v>
      </c>
      <c r="AK14" s="1211">
        <f t="shared" si="3"/>
        <v>667</v>
      </c>
      <c r="AL14" s="1211">
        <f t="shared" si="3"/>
        <v>0</v>
      </c>
      <c r="AM14" s="1211">
        <f t="shared" si="3"/>
        <v>0</v>
      </c>
      <c r="AN14" s="1211">
        <f t="shared" si="3"/>
        <v>0</v>
      </c>
      <c r="AO14" s="1203">
        <f>IF(ISNUMBER(((NºAsuntos!I14/NºAsuntos!G14)*11)/factor_trimestre),((NºAsuntos!I14/NºAsuntos!G14)*11)/factor_trimestre," - ")</f>
        <v>5.017834394904459</v>
      </c>
      <c r="AP14" s="1213" t="str">
        <f>IF(ISNUMBER(Datos!CI14/Datos!CJ14),Datos!CI14/Datos!CJ14," - ")</f>
        <v xml:space="preserve"> - </v>
      </c>
      <c r="AQ14" s="1236">
        <f t="shared" ref="AQ14:AV14" si="4">SUBTOTAL(9,AQ9:AQ13)</f>
        <v>0</v>
      </c>
      <c r="AR14" s="1236">
        <f t="shared" si="4"/>
        <v>-6.321989991599071E-2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1098</v>
      </c>
      <c r="G16" s="552">
        <f>IF(ISNUMBER(IF(D_I="SI",Datos!I16,Datos!I16+Datos!AC16)),IF(D_I="SI",Datos!I16,Datos!I16+Datos!AC16)," - ")</f>
        <v>1161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1024</v>
      </c>
      <c r="Z16" s="805">
        <f>IF(ISNUMBER(Datos!Q16),Datos!Q16," - ")</f>
        <v>68</v>
      </c>
      <c r="AA16" s="551">
        <f>IF(ISNUMBER(IF(D_I="SI",Datos!L16,Datos!L16+Datos!AF16)),IF(D_I="SI",Datos!L16,Datos!L16+Datos!AF16)," - ")</f>
        <v>954</v>
      </c>
      <c r="AB16" s="549"/>
      <c r="AC16" s="549"/>
      <c r="AD16" s="563"/>
      <c r="AE16" s="563">
        <f>IF(ISNUMBER(Datos!R16),Datos!R16," - ")</f>
        <v>339</v>
      </c>
      <c r="AF16" s="693" t="str">
        <f>IF(ISNUMBER(Datos!BV16),Datos!BV16," - ")</f>
        <v xml:space="preserve"> - </v>
      </c>
      <c r="AG16" s="552"/>
      <c r="AH16" s="553"/>
      <c r="AI16" s="554"/>
      <c r="AJ16" s="552">
        <f>IF(ISNUMBER(Datos!M16),Datos!M16," - ")</f>
        <v>214</v>
      </c>
      <c r="AK16" s="693">
        <f>IF(ISNUMBER(Datos!N16),Datos!N16," - ")</f>
        <v>506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2.794921875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v>
      </c>
      <c r="Z18" s="805">
        <f>IF(ISNUMBER(Datos!Q18),Datos!Q18," - ")</f>
        <v>3</v>
      </c>
      <c r="AA18" s="551">
        <f>IF(ISNUMBER(Datos!L18),Datos!L18,"-")</f>
        <v>55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14</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2.3913043478260869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1098</v>
      </c>
      <c r="G23" s="1197">
        <f>SUBTOTAL(9,G16:G22)</f>
        <v>1217</v>
      </c>
      <c r="H23" s="1240">
        <f>SUBTOTAL(9,H16:H22)</f>
        <v>0</v>
      </c>
      <c r="I23" s="1217">
        <f>SUBTOTAL(9,I16:I22)</f>
        <v>0</v>
      </c>
      <c r="J23" s="1164">
        <f>SUBTOTAL(9,J15:J22)</f>
        <v>0</v>
      </c>
      <c r="K23" s="1240">
        <f t="shared" ref="K23:S23" si="5">SUBTOTAL(9,K16:K22)</f>
        <v>0</v>
      </c>
      <c r="L23" s="1240">
        <f t="shared" si="5"/>
        <v>0</v>
      </c>
      <c r="M23" s="1240">
        <f t="shared" si="5"/>
        <v>0</v>
      </c>
      <c r="N23" s="1240">
        <f t="shared" si="5"/>
        <v>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1093</v>
      </c>
      <c r="Z23" s="1240">
        <f t="shared" si="6"/>
        <v>71</v>
      </c>
      <c r="AA23" s="1240">
        <f t="shared" si="6"/>
        <v>1009</v>
      </c>
      <c r="AB23" s="1240">
        <f t="shared" si="6"/>
        <v>0</v>
      </c>
      <c r="AC23" s="1240">
        <f t="shared" si="6"/>
        <v>0</v>
      </c>
      <c r="AD23" s="1240">
        <f t="shared" si="6"/>
        <v>0</v>
      </c>
      <c r="AE23" s="1240">
        <f t="shared" si="6"/>
        <v>342</v>
      </c>
      <c r="AF23" s="1240">
        <f t="shared" si="6"/>
        <v>0</v>
      </c>
      <c r="AG23" s="1240">
        <f t="shared" si="6"/>
        <v>0</v>
      </c>
      <c r="AH23" s="1240">
        <f t="shared" si="6"/>
        <v>0</v>
      </c>
      <c r="AI23" s="1240">
        <f t="shared" si="6"/>
        <v>0</v>
      </c>
      <c r="AJ23" s="1240">
        <f t="shared" si="6"/>
        <v>228</v>
      </c>
      <c r="AK23" s="1240">
        <f t="shared" si="6"/>
        <v>541</v>
      </c>
      <c r="AL23" s="1240">
        <f t="shared" si="6"/>
        <v>0</v>
      </c>
      <c r="AM23" s="1240">
        <f t="shared" si="6"/>
        <v>0</v>
      </c>
      <c r="AN23" s="1240">
        <f t="shared" si="6"/>
        <v>0</v>
      </c>
      <c r="AO23" s="1242">
        <f>IF(ISNUMBER(((NºAsuntos!I23/NºAsuntos!G23)*11)/factor_trimestre),((NºAsuntos!I23/NºAsuntos!G23)*11)/factor_trimestre," - ")</f>
        <v>2.7694419030192137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1132</v>
      </c>
      <c r="G31" s="1117">
        <f t="shared" si="12"/>
        <v>1251</v>
      </c>
      <c r="H31" s="1118">
        <f t="shared" si="12"/>
        <v>0</v>
      </c>
      <c r="I31" s="1117">
        <f t="shared" si="12"/>
        <v>0</v>
      </c>
      <c r="J31" s="1119">
        <f t="shared" si="12"/>
        <v>0</v>
      </c>
      <c r="K31" s="1117">
        <f t="shared" si="12"/>
        <v>0</v>
      </c>
      <c r="L31" s="1120">
        <f t="shared" si="12"/>
        <v>0</v>
      </c>
      <c r="M31" s="1117">
        <f t="shared" si="12"/>
        <v>0</v>
      </c>
      <c r="N31" s="1118">
        <f t="shared" si="12"/>
        <v>461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1107</v>
      </c>
      <c r="Z31" s="1124">
        <f t="shared" si="13"/>
        <v>499</v>
      </c>
      <c r="AA31" s="1125">
        <f t="shared" si="13"/>
        <v>1040</v>
      </c>
      <c r="AB31" s="1125">
        <f t="shared" si="13"/>
        <v>0</v>
      </c>
      <c r="AC31" s="1125">
        <f t="shared" si="13"/>
        <v>0</v>
      </c>
      <c r="AD31" s="1126">
        <f t="shared" si="13"/>
        <v>0</v>
      </c>
      <c r="AE31" s="1126">
        <f t="shared" si="13"/>
        <v>5481</v>
      </c>
      <c r="AF31" s="1127">
        <f t="shared" si="13"/>
        <v>0</v>
      </c>
      <c r="AG31" s="1128">
        <f t="shared" si="13"/>
        <v>0</v>
      </c>
      <c r="AH31" s="1129">
        <f t="shared" si="13"/>
        <v>0</v>
      </c>
      <c r="AI31" s="1127">
        <f t="shared" si="13"/>
        <v>0</v>
      </c>
      <c r="AJ31" s="1117">
        <f t="shared" si="13"/>
        <v>599</v>
      </c>
      <c r="AK31" s="1117">
        <f t="shared" si="13"/>
        <v>1208</v>
      </c>
      <c r="AL31" s="1117">
        <f t="shared" si="13"/>
        <v>0</v>
      </c>
      <c r="AM31" s="1130">
        <f t="shared" si="13"/>
        <v>0</v>
      </c>
      <c r="AN31" s="1120">
        <f>IF(ISNUMBER(Datos!K31/Datos!J31),Datos!K31/Datos!J31," - ")</f>
        <v>0.97103223174214603</v>
      </c>
      <c r="AO31" s="1120">
        <f>IF(ISNUMBER(FIND("06",Criterios!A8,1)),(IF(ISNUMBER(((Datos!R31/Datos!Q31)*11)/factor_trimestre),((Datos!R31/Datos!Q31)*11)/factor_trimestre," - ")),(IF(ISNUMBER(((Datos!L31/Datos!K31)*11)/factor_trimestre),((Datos!L31/Datos!K31)*11)/factor_trimestre," - ")))</f>
        <v>4.4004201680672264</v>
      </c>
      <c r="AP31" s="1131" t="str">
        <f>IF(ISNUMBER(Datos!CI31/Datos!CJ31),Datos!CI31/Datos!CJ31," - ")</f>
        <v xml:space="preserve"> - </v>
      </c>
      <c r="AQ31" s="1131">
        <f>IF(OR(ISNUMBER(FIND("01",Criterios!A8,1)),ISNUMBER(FIND("02",Criterios!A8,1)),ISNUMBER(FIND("03",Criterios!A8,1)),ISNUMBER(FIND("04",Criterios!A8,1))),(J31-Y31+K31)/(F31-K31),(I31-Y31+K31)/(F31-K31))</f>
        <v>-0.97791519434628971</v>
      </c>
      <c r="AR31" s="1131">
        <f>IF(ISNUMBER((Datos!P31-Datos!Q31+O31)/(Datos!R31-Datos!P31+Datos!Q31-O31)),(Datos!P31-Datos!Q31+O31)/(Datos!R31-Datos!P31+Datos!Q31-O31)," - ")</f>
        <v>-6.8853053089327773E-3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558.43304582256474</v>
      </c>
      <c r="G33" s="674">
        <f>IF(ISNUMBER(STDEV(G8:G30)),STDEV(G8:G30),"-")</f>
        <v>568.6492349251447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139.93236461471901</v>
      </c>
      <c r="AK33" s="276"/>
      <c r="AL33" s="276">
        <f>IF(ISNUMBER(STDEV(AL8:AL30)),STDEV(AL8:AL30),"-")</f>
        <v>0</v>
      </c>
      <c r="AM33" s="278">
        <f>IF(ISNUMBER(STDEV(AM8:AM30)),STDEV(AM8:AM30),"-")</f>
        <v>0</v>
      </c>
      <c r="AN33" s="660">
        <f>IF(ISNUMBER(STDEV(AN8:AN30)),STDEV(AN8:AN30),"-")</f>
        <v>0</v>
      </c>
      <c r="AO33" s="661">
        <f>IF(ISNUMBER(STDEV(AO8:AO30)),STDEV(AO8:AO30),"-")</f>
        <v>1.6406612276085979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93oOhgs5+6G39jvgsYcNaxLKX6mel7CkCPedZG6i6L0wi9/fiDJ/kww8/2Q5pkx3+oXMn9KxtAXmp64WL2/TA==" saltValue="HPEryk4mbccyDWj8je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L5PxR/kckEddc1w8RC1aForBlR5/CcDxwFWZxatl83tCGVAdeCE/tNZK/+ZvwvCoSuucMoAdCWjHy2zkOyqmPA==" saltValue="GuyC10Sb4fLEcEqiP7I5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AbK/jTwBhXLB0hyv43Azl6rx3L8F5VdOKCmmwfibp4nUKLOlEN1TfPmhy8zSgMnImCeI3wLCyORr/Wz7BCfhQ==" saltValue="sGsjgWBCSMPFXucuxDEa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PONTEVEDRA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0.23630573248407644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0.16709338587274467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xBTFVAhMDn+trgEm16iQyBuvwbeVuKvWypES9HTeolPzPhxgGwo/zglkc0Ac/SQ/AhL6+XvsgzC2Uw4xt5lQA==" saltValue="N3NLRsuDyHMRs36e6LgP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IDy3uPqLK7Ku0p/YcSblkcjFKooV4uBOYKcIEnqDVCbgwnHV8Y/6IfDhvTkdzNf9GqYNWNmOOjuEFUjvDtbeZQ==" saltValue="7MSjWULLASIbRzaQHIhD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PONTEVEDRA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4</v>
      </c>
      <c r="C9" s="451">
        <f>IF(ISNUMBER(IF(J_V="SI",Datos!I9,Datos!I9+Datos!Y9)),IF(J_V="SI",Datos!I9,Datos!I9+Datos!Y9)," - ")</f>
        <v>1947</v>
      </c>
      <c r="D9" s="452">
        <f>IF(ISNUMBER(C9/Datos!BH9),C9/Datos!BH9," - ")</f>
        <v>486.75</v>
      </c>
      <c r="E9" s="451">
        <f>IF(ISNUMBER(IF(J_V="SI",Datos!J9,Datos!J9+Datos!Z9)),IF(J_V="SI",Datos!J9,Datos!J9+Datos!Z9)," - ")</f>
        <v>1292</v>
      </c>
      <c r="F9" s="452">
        <f>IF(ISNUMBER(E9/B9),E9/B9," - ")</f>
        <v>323</v>
      </c>
      <c r="G9" s="451">
        <f>IF(ISNUMBER(IF(J_V="SI",Datos!K9,Datos!K9+Datos!AA9)),IF(J_V="SI",Datos!K9,Datos!K9+Datos!AA9)," - ")</f>
        <v>1148</v>
      </c>
      <c r="H9" s="452">
        <f>IF(ISNUMBER(G9/B9),G9/B9," - ")</f>
        <v>287</v>
      </c>
      <c r="I9" s="451">
        <f>IF(ISNUMBER(IF(J_V="SI",Datos!L9,Datos!L9+Datos!AB9)),IF(J_V="SI",Datos!L9,Datos!L9+Datos!AB9)," - ")</f>
        <v>2091</v>
      </c>
      <c r="J9" s="452">
        <f>IF(ISNUMBER(I9/B9),I9/B9," - ")</f>
        <v>522.75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11</v>
      </c>
      <c r="F10" s="452">
        <f>IF(ISNUMBER(E10/B10),E10/B10," - ")</f>
        <v>11</v>
      </c>
      <c r="G10" s="451">
        <f>IF(ISNUMBER(Datos!K10),Datos!K10," - ")</f>
        <v>14</v>
      </c>
      <c r="H10" s="452">
        <f>IF(ISNUMBER(G10/B10),G10/B10," - ")</f>
        <v>14</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459</v>
      </c>
      <c r="D11" s="452">
        <f>IF(ISNUMBER(C11/Datos!BH11),C11/Datos!BH11," - ")</f>
        <v>459</v>
      </c>
      <c r="E11" s="451">
        <f>IF(ISNUMBER(IF(J_V="SI",Datos!J11,Datos!J11+Datos!Z11)),IF(J_V="SI",Datos!J11,Datos!J11+Datos!Z11)," - ")</f>
        <v>450</v>
      </c>
      <c r="F11" s="452">
        <f>IF(ISNUMBER(E11/B11),E11/B11," - ")</f>
        <v>450</v>
      </c>
      <c r="G11" s="451">
        <f>IF(ISNUMBER(IF(J_V="SI",Datos!K11,Datos!K11+Datos!AA11)),IF(J_V="SI",Datos!K11,Datos!K11+Datos!AA11)," - ")</f>
        <v>407</v>
      </c>
      <c r="H11" s="452">
        <f>IF(ISNUMBER(G11/B11),G11/B11," - ")</f>
        <v>407</v>
      </c>
      <c r="I11" s="451">
        <f>IF(ISNUMBER(IF(J_V="SI",Datos!L11,Datos!L11+Datos!AB11)),IF(J_V="SI",Datos!L11,Datos!L11+Datos!AB11)," - ")</f>
        <v>502</v>
      </c>
      <c r="J11" s="452">
        <f>IF(ISNUMBER(I11/B11),I11/B11," - ")</f>
        <v>502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2</v>
      </c>
      <c r="F12" s="452" t="str">
        <f>IF(ISNUMBER(E12/B12),E12/B12," - ")</f>
        <v xml:space="preserve"> - </v>
      </c>
      <c r="G12" s="451">
        <f>IF(ISNUMBER(IF(J_V="SI",Datos!K12,Datos!K12+Datos!AA12)),IF(J_V="SI",Datos!K12,Datos!K12+Datos!AA12)," - ")</f>
        <v>1</v>
      </c>
      <c r="H12" s="452" t="str">
        <f>IF(ISNUMBER(G12/B12),G12/B12," - ")</f>
        <v xml:space="preserve"> - </v>
      </c>
      <c r="I12" s="451">
        <f>IF(ISNUMBER(IF(J_V="SI",Datos!L12,Datos!L12+Datos!AB12)),IF(J_V="SI",Datos!L12,Datos!L12+Datos!AB12)," - ")</f>
        <v>2</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2441</v>
      </c>
      <c r="D14" s="1147" t="str">
        <f>IF(ISNUMBER(C14/Datos!BI14),C14/Datos!BI14," - ")</f>
        <v xml:space="preserve"> - </v>
      </c>
      <c r="E14" s="1146">
        <f>SUBTOTAL(9,E8:E13)</f>
        <v>1755</v>
      </c>
      <c r="F14" s="1147">
        <f>IF(ISNUMBER(E14/B14),E14/B14," - ")</f>
        <v>351</v>
      </c>
      <c r="G14" s="1146">
        <f>SUBTOTAL(9,G8:G13)</f>
        <v>1570</v>
      </c>
      <c r="H14" s="1147">
        <f>IF(ISNUMBER(G14/B14),G14/B14," - ")</f>
        <v>314</v>
      </c>
      <c r="I14" s="1146">
        <f>SUBTOTAL(9,I8:I13)</f>
        <v>2626</v>
      </c>
      <c r="J14" s="1147">
        <f>IF(ISNUMBER(I14/B14),I14/B14," - ")</f>
        <v>525.20000000000005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1161</v>
      </c>
      <c r="D16" s="452">
        <f>IF(ISNUMBER(C16/Datos!BH16),C16/Datos!BH16," - ")</f>
        <v>387</v>
      </c>
      <c r="E16" s="451">
        <f>IF(ISNUMBER(IF(D_I="SI",Datos!J16,Datos!J16+Datos!AD16)),IF(D_I="SI",Datos!J16,Datos!J16+Datos!AD16)," - ")</f>
        <v>880</v>
      </c>
      <c r="F16" s="452">
        <f>IF(ISNUMBER(E16/B16),E16/B16," - ")</f>
        <v>293.33333333333331</v>
      </c>
      <c r="G16" s="451">
        <f>IF(ISNUMBER(IF(D_I="SI",Datos!K16,Datos!K16+Datos!AE16)),IF(D_I="SI",Datos!K16,Datos!K16+Datos!AE16)," - ")</f>
        <v>1024</v>
      </c>
      <c r="H16" s="452">
        <f>IF(ISNUMBER(G16/B16),G16/B16," - ")</f>
        <v>341.33333333333331</v>
      </c>
      <c r="I16" s="451">
        <f>IF(ISNUMBER(IF(D_I="SI",Datos!L16,Datos!L16+Datos!AF16)),IF(D_I="SI",Datos!L16,Datos!L16+Datos!AF16)," - ")</f>
        <v>954</v>
      </c>
      <c r="J16" s="452">
        <f>IF(ISNUMBER(I16/B16),I16/B16," - ")</f>
        <v>318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72</v>
      </c>
      <c r="F18" s="452">
        <f>IF(ISNUMBER(E18/B18),E18/B18," - ")</f>
        <v>72</v>
      </c>
      <c r="G18" s="451">
        <f>IF(ISNUMBER(IF(D_I="SI",Datos!K18,Datos!K18+Datos!AE18)),IF(D_I="SI",Datos!K18,Datos!K18+Datos!AE18)," - ")</f>
        <v>69</v>
      </c>
      <c r="H18" s="452">
        <f>IF(ISNUMBER(G18/B18),G18/B18," - ")</f>
        <v>69</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1217</v>
      </c>
      <c r="D23" s="1147" t="str">
        <f>IF(ISNUMBER(C23/Datos!BI23),C23/Datos!BI23," - ")</f>
        <v xml:space="preserve"> - </v>
      </c>
      <c r="E23" s="1146">
        <f>SUBTOTAL(9,E15:E22)</f>
        <v>952</v>
      </c>
      <c r="F23" s="1147">
        <f>IF(ISNUMBER(E23/B23),E23/B23," - ")</f>
        <v>317.33333333333331</v>
      </c>
      <c r="G23" s="1146">
        <f>SUBTOTAL(9,G15:G22)</f>
        <v>1093</v>
      </c>
      <c r="H23" s="1147">
        <f>IF(ISNUMBER(G23/B23),G23/B23," - ")</f>
        <v>364.33333333333331</v>
      </c>
      <c r="I23" s="1146">
        <f>SUBTOTAL(9,I15:I22)</f>
        <v>1009</v>
      </c>
      <c r="J23" s="1147">
        <f>IF(ISNUMBER(I23/B23),I23/B23," - ")</f>
        <v>336.33333333333331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3658</v>
      </c>
      <c r="D31" s="1085" t="str">
        <f>IF(ISNUMBER(C31/Datos!BI31),C31/Datos!BI31," - ")</f>
        <v xml:space="preserve"> - </v>
      </c>
      <c r="E31" s="1084">
        <f>SUBTOTAL(9,E9:E30)</f>
        <v>2707</v>
      </c>
      <c r="F31" s="1085">
        <f>IF(ISNUMBER(E31/B31),E31/B31," - ")</f>
        <v>338.375</v>
      </c>
      <c r="G31" s="1084">
        <f>SUBTOTAL(9,G9:G30)</f>
        <v>2663</v>
      </c>
      <c r="H31" s="1085">
        <f>IF(ISNUMBER(G31/B31),G31/B31," - ")</f>
        <v>332.875</v>
      </c>
      <c r="I31" s="1084">
        <f>SUBTOTAL(9,I9:I30)</f>
        <v>3635</v>
      </c>
      <c r="J31" s="1085">
        <f>IF(ISNUMBER(I31/B31),I31/B31," - ")</f>
        <v>454.375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OyNqPBFGzgj7qUM09mp5nAecyOPv2IiHxTt2QZ9N/U2JbWWUNcZxv92uHJ+ZT5bmi7Dssu1jFKujOziKlycRQ==" saltValue="v7R5KtwGUxkpmha/W4cQ9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PONTEVEDRA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1 al 1</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4</v>
      </c>
      <c r="B9" s="745" t="s">
        <v>317</v>
      </c>
      <c r="C9" s="765" t="str">
        <f>Datos!A9</f>
        <v xml:space="preserve">Jdos. 1ª Instancia   </v>
      </c>
      <c r="D9" s="593"/>
      <c r="E9" s="904">
        <f>IF(ISNUMBER(Datos!AQ9),Datos!AQ9," - ")</f>
        <v>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6.6428571428571432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-2.3668639053254437E-2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4</v>
      </c>
      <c r="AE14" s="1257">
        <f t="shared" si="1"/>
        <v>0</v>
      </c>
      <c r="AF14" s="1257">
        <f t="shared" si="1"/>
        <v>31</v>
      </c>
      <c r="AG14" s="1257">
        <f t="shared" si="1"/>
        <v>0</v>
      </c>
      <c r="AH14" s="1257">
        <f t="shared" si="1"/>
        <v>165</v>
      </c>
      <c r="AI14" s="1257">
        <f t="shared" si="1"/>
        <v>0</v>
      </c>
      <c r="AJ14" s="1257">
        <f t="shared" si="1"/>
        <v>0</v>
      </c>
      <c r="AK14" s="1257">
        <f t="shared" si="1"/>
        <v>0</v>
      </c>
      <c r="AL14" s="1257">
        <f t="shared" si="1"/>
        <v>6</v>
      </c>
      <c r="AM14" s="1257">
        <f t="shared" si="1"/>
        <v>6</v>
      </c>
      <c r="AN14" s="1257">
        <f t="shared" si="1"/>
        <v>0</v>
      </c>
      <c r="AO14" s="1257">
        <f t="shared" si="1"/>
        <v>0</v>
      </c>
      <c r="AP14" s="1262">
        <f>IF(ISNUMBER(((Datos!L14/Datos!K14)*11)/factor_trimestre),((Datos!L14/Datos!K14)*11)/factor_trimestre," - ")</f>
        <v>5.7855477855477853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-0.41176470588235292</v>
      </c>
      <c r="AU14" s="1257" t="str">
        <f>IF(ISNUMBER((DatosP!#REF!-DatosP!#REF!+DatosP!#REF!)/(DatosP!#REF!+DatosP!#REF!-DatosP!#REF!-DatosP!#REF!)),(DatosP!#REF!-DatosP!#REF!+DatosP!#REF!)/(DatosP!#REF!+DatosP!#REF!-DatosP!#REF!-DatosP!#REF!)," - ")</f>
        <v xml:space="preserve"> - </v>
      </c>
      <c r="AV14" s="1263">
        <f>SUBTOTAL(9,AV9:AV13)</f>
        <v>-2.3668639053254437E-2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2.7694419030192137</v>
      </c>
      <c r="AQ23" s="1262">
        <f>IF(ISNUMBER(((Datos!M23/Datos!L23)*11)/factor_trimestre),((Datos!M23/Datos!L23)*11)/factor_trimestre," - ")</f>
        <v>0.67789890981169476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-1.1560693641618497E-2</v>
      </c>
      <c r="AW23" s="1265">
        <f>IF(ISNUMBER((Datos!Q23-Datos!R23)/(Datos!S23-Datos!Q23+Datos!R23)),(Datos!Q23-Datos!R23)/(Datos!S23-Datos!Q23+Datos!R23)," - ")</f>
        <v>-0.1473626971179989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4</v>
      </c>
      <c r="AE31" s="1284">
        <f t="shared" si="9"/>
        <v>0</v>
      </c>
      <c r="AF31" s="1285">
        <f t="shared" si="9"/>
        <v>31</v>
      </c>
      <c r="AG31" s="1285">
        <f t="shared" si="9"/>
        <v>0</v>
      </c>
      <c r="AH31" s="1285">
        <f t="shared" si="9"/>
        <v>165</v>
      </c>
      <c r="AI31" s="1285">
        <f t="shared" si="9"/>
        <v>0</v>
      </c>
      <c r="AJ31" s="1286">
        <f t="shared" si="9"/>
        <v>0</v>
      </c>
      <c r="AK31" s="1286">
        <f t="shared" si="9"/>
        <v>0</v>
      </c>
      <c r="AL31" s="1278">
        <f t="shared" si="9"/>
        <v>6</v>
      </c>
      <c r="AM31" s="1278">
        <f t="shared" si="9"/>
        <v>6</v>
      </c>
      <c r="AN31" s="1278">
        <f t="shared" si="9"/>
        <v>0</v>
      </c>
      <c r="AO31" s="1278">
        <f t="shared" si="9"/>
        <v>0</v>
      </c>
      <c r="AP31" s="1278">
        <f>IF(ISNUMBER(((Datos!L31/Datos!K31)*11)/factor_trimestre),((Datos!L31/Datos!K31)*11)/factor_trimestre," - ")</f>
        <v>4.4004201680672264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-0.41176470588235292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-6.8853053089327773E-3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1.9649710204252659</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1.7255670644104331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7oTyRlhST1sKMbyDGwfvJqZ/dG92T6YH2+ssXVREabXUS3c3mEEsAOo+xS9oo22MGqSA2NmQZk1D4LExhsUlQ==" saltValue="K7kHjvYANUOwVB9jkA0r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PONTEVEDRA</v>
      </c>
      <c r="C3" s="463"/>
      <c r="F3" s="436"/>
      <c r="G3" s="436"/>
      <c r="H3" s="436"/>
    </row>
    <row r="4" spans="1:15" ht="13.5" thickBot="1">
      <c r="A4" s="436"/>
      <c r="B4" s="439" t="str">
        <f>Criterios!A11 &amp;"  "&amp;Criterios!B11</f>
        <v>Resumenes por Partidos Judiciales  PONTEVEDRA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4</v>
      </c>
      <c r="D9" s="451">
        <f>Datos!BK9</f>
        <v>0</v>
      </c>
      <c r="E9" s="451">
        <f>Datos!AQ9</f>
        <v>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IgvQVY4Gh1NN027/xcy5SLtI93zqABNMXK5NUdFmGtkt09ew6cSlpftTEuabi2YqbODJOZZQlp/twNNHcia+Q==" saltValue="mEf5tlPP+1yX2Zg6zOQt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PONTEVEDRA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4</v>
      </c>
      <c r="C9" s="458">
        <f>Datos!AQ9</f>
        <v>4</v>
      </c>
      <c r="D9" s="451">
        <f>IF(ISNUMBER(Datos!M9),Datos!M9," - ")</f>
        <v>276</v>
      </c>
      <c r="E9" s="452">
        <f t="shared" ref="E9:E14" si="0">IF(ISNUMBER(D9/B9),D9/B9," - ")</f>
        <v>69</v>
      </c>
      <c r="F9" s="451">
        <f>IF(ISNUMBER(Datos!N9),Datos!N9," - ")</f>
        <v>427</v>
      </c>
      <c r="G9" s="452">
        <f t="shared" ref="G9:G14" si="1">IF(ISNUMBER(F9/B9),F9/B9," - ")</f>
        <v>106.75</v>
      </c>
      <c r="H9" s="451">
        <f>IF(ISNUMBER(Datos!O9),Datos!O9," - ")</f>
        <v>611</v>
      </c>
      <c r="I9" s="452">
        <f>IF(ISNUMBER(H9/B9),H9/B9," - ")</f>
        <v>152.75</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1</v>
      </c>
      <c r="C11" s="458">
        <f>Datos!AQ11</f>
        <v>1</v>
      </c>
      <c r="D11" s="451">
        <f>IF(ISNUMBER(Datos!M11),Datos!M11," - ")</f>
        <v>89</v>
      </c>
      <c r="E11" s="452">
        <f t="shared" si="0"/>
        <v>89</v>
      </c>
      <c r="F11" s="451">
        <f>IF(ISNUMBER(Datos!N11),Datos!N11," - ")</f>
        <v>234</v>
      </c>
      <c r="G11" s="452">
        <f t="shared" si="1"/>
        <v>234</v>
      </c>
      <c r="H11" s="451">
        <f>IF(ISNUMBER(Datos!O11),Datos!O11," - ")</f>
        <v>86</v>
      </c>
      <c r="I11" s="452">
        <f t="shared" si="2"/>
        <v>86</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371</v>
      </c>
      <c r="E14" s="1147">
        <f t="shared" si="0"/>
        <v>61.833333333333336</v>
      </c>
      <c r="F14" s="1146">
        <f>SUBTOTAL(9,F9:F13)</f>
        <v>667</v>
      </c>
      <c r="G14" s="1147">
        <f t="shared" si="1"/>
        <v>111.16666666666667</v>
      </c>
      <c r="H14" s="1146">
        <f>SUBTOTAL(9,H9:H13)</f>
        <v>700</v>
      </c>
      <c r="I14" s="1147">
        <f>IF(ISNUMBER(H14/B14),H14/B14," - ")</f>
        <v>116.66666666666667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214</v>
      </c>
      <c r="E16" s="452">
        <f t="shared" ref="E16:E23" si="3">IF(ISNUMBER(D16/B16),D16/B16," - ")</f>
        <v>71.333333333333329</v>
      </c>
      <c r="F16" s="451">
        <f>IF(ISNUMBER(Datos!N16),Datos!N16," - ")</f>
        <v>506</v>
      </c>
      <c r="G16" s="452">
        <f t="shared" ref="G16:G23" si="4">IF(ISNUMBER(F16/B16),F16/B16," - ")</f>
        <v>168.66666666666666</v>
      </c>
      <c r="H16" s="451">
        <f>IF(ISNUMBER(Datos!O16),Datos!O16," - ")</f>
        <v>36</v>
      </c>
      <c r="I16" s="452">
        <f t="shared" ref="I16:I22" si="5">IF(ISNUMBER(H16/B16),H16/B16," - ")</f>
        <v>12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35</v>
      </c>
      <c r="G18" s="452">
        <f>IF(ISNUMBER(F18/B18),F18/B18," - ")</f>
        <v>35</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228</v>
      </c>
      <c r="E23" s="1147">
        <f t="shared" si="3"/>
        <v>57</v>
      </c>
      <c r="F23" s="1146">
        <f>SUBTOTAL(9,F16:F22)</f>
        <v>541</v>
      </c>
      <c r="G23" s="1147">
        <f t="shared" si="4"/>
        <v>135.25</v>
      </c>
      <c r="H23" s="1146">
        <f>SUBTOTAL(9,H16:H22)</f>
        <v>39</v>
      </c>
      <c r="I23" s="1147">
        <f>IF(ISNUMBER(H23/B23),H23/B23," - ")</f>
        <v>9.75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599</v>
      </c>
      <c r="E31" s="1085">
        <f>IF(ISNUMBER(D31/B31),D31/B31," - ")</f>
        <v>74.875</v>
      </c>
      <c r="F31" s="1084">
        <f>SUBTOTAL(9,F8:F30)</f>
        <v>1208</v>
      </c>
      <c r="G31" s="1085">
        <f>IF(ISNUMBER(F31/B31),F31/B31," - ")</f>
        <v>151</v>
      </c>
      <c r="H31" s="1084">
        <f>SUBTOTAL(9,H8:H30)</f>
        <v>739</v>
      </c>
      <c r="I31" s="1085">
        <f>IF(ISNUMBER(H31/B31),H31/B31," - ")</f>
        <v>92.375</v>
      </c>
    </row>
    <row r="34" spans="1:1">
      <c r="A34" s="439" t="str">
        <f>Criterios!A4</f>
        <v>Fecha Informe: 05 may. 2023</v>
      </c>
    </row>
    <row r="39" spans="1:1">
      <c r="A39" s="462"/>
    </row>
  </sheetData>
  <sheetProtection algorithmName="SHA-512" hashValue="DWVH1ayftms2+WU7IqD+iVNy/Y0iI7tHUC7efC9Q4nuKegzkVJfqb94epH0dZ9yyhwtAhLFNgy4hc42orOiOYw==" saltValue="r4u0Js2viTyFez+F3tfw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PONTEVEDRA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345</v>
      </c>
      <c r="C9" s="489">
        <f>IF(ISNUMBER(Datos!Q9),Datos!Q9," - ")</f>
        <v>328</v>
      </c>
      <c r="D9" s="456">
        <f>IF(ISNUMBER(Datos!R9),Datos!R9," - ")</f>
        <v>4420</v>
      </c>
    </row>
    <row r="10" spans="1:4">
      <c r="A10" s="450" t="str">
        <f>Datos!A10</f>
        <v>Jdos. Violencia contra la mujer</v>
      </c>
      <c r="B10" s="488">
        <f>IF(ISNUMBER(Datos!P10),Datos!P10," - ")</f>
        <v>4</v>
      </c>
      <c r="C10" s="489">
        <f>IF(ISNUMBER(Datos!Q10),Datos!Q10," - ")</f>
        <v>1</v>
      </c>
      <c r="D10" s="456">
        <f>IF(ISNUMBER(Datos!R10),Datos!R10," - ")</f>
        <v>64</v>
      </c>
    </row>
    <row r="11" spans="1:4">
      <c r="A11" s="450" t="str">
        <f>Datos!A11</f>
        <v xml:space="preserve">Jdos. Familia                                   </v>
      </c>
      <c r="B11" s="488">
        <f>IF(ISNUMBER(Datos!P11),Datos!P11," - ")</f>
        <v>45</v>
      </c>
      <c r="C11" s="489">
        <f>IF(ISNUMBER(Datos!Q11),Datos!Q11," - ")</f>
        <v>95</v>
      </c>
      <c r="D11" s="456">
        <f>IF(ISNUMBER(Datos!R11),Datos!R11," - ")</f>
        <v>490</v>
      </c>
    </row>
    <row r="12" spans="1:4">
      <c r="A12" s="450" t="str">
        <f>Datos!A12</f>
        <v xml:space="preserve">Jdos. 1ª Instª. e Instr.                        </v>
      </c>
      <c r="B12" s="488">
        <f>IF(ISNUMBER(Datos!P12),Datos!P12," - ")</f>
        <v>0</v>
      </c>
      <c r="C12" s="489">
        <f>IF(ISNUMBER(Datos!Q12),Datos!Q12," - ")</f>
        <v>4</v>
      </c>
      <c r="D12" s="456">
        <f>IF(ISNUMBER(Datos!R12),Datos!R12," - ")</f>
        <v>165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394</v>
      </c>
      <c r="C14" s="1150">
        <f>SUBTOTAL(9,C9:C13)</f>
        <v>428</v>
      </c>
      <c r="D14" s="1148">
        <f>SUBTOTAL(9,D9:D13)</f>
        <v>5139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64</v>
      </c>
      <c r="C16" s="489">
        <f>IF(ISNUMBER(Datos!Q16),Datos!Q16," - ")</f>
        <v>68</v>
      </c>
      <c r="D16" s="456">
        <f>IF(ISNUMBER(Datos!R16),Datos!R16," - ")</f>
        <v>339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67</v>
      </c>
      <c r="C23" s="1150">
        <f>SUBTOTAL(9,C16:C22)</f>
        <v>71</v>
      </c>
      <c r="D23" s="1148">
        <f>SUBTOTAL(9,D16:D22)</f>
        <v>342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461</v>
      </c>
      <c r="C31" s="1089">
        <f>SUBTOTAL(9,C8:C30)</f>
        <v>499</v>
      </c>
      <c r="D31" s="1090">
        <f>SUBTOTAL(9,D8:D30)</f>
        <v>5481</v>
      </c>
    </row>
    <row r="32" spans="1:4" ht="7.5" customHeight="1"/>
    <row r="33" spans="1:1" ht="6" customHeight="1"/>
    <row r="34" spans="1:1">
      <c r="A34" s="439" t="str">
        <f>Criterios!A4</f>
        <v>Fecha Informe: 05 may. 2023</v>
      </c>
    </row>
    <row r="39" spans="1:1">
      <c r="A39" s="462"/>
    </row>
  </sheetData>
  <sheetProtection algorithmName="SHA-512" hashValue="6Cn9Fe78lBBIBJGh7dbOrN8eei1NgnSx+h6IZv/QK5uYMSrK4v0fzf3zayOGTAqBf00OjOUtc9FfjeBJOWnOXw==" saltValue="A2VctTVQI7xcUUNziCpC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PONTEVEDRA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-0.21078232671260641</v>
      </c>
      <c r="C9" s="515">
        <f>IF(ISNUMBER(
   IF(J_V="SI",(Datos!J9-Datos!T9)/Datos!T9,(Datos!J9+Datos!Z9-(Datos!T9+Datos!AH9))/(Datos!T9+Datos!AH9))
     ),IF(J_V="SI",(Datos!J9-Datos!T9)/Datos!T9,(Datos!J9+Datos!Z9-(Datos!T9+Datos!AH9))/(Datos!T9+Datos!AH9))," - ")</f>
        <v>3.8585209003215437E-2</v>
      </c>
      <c r="D9" s="515">
        <f>IF(ISNUMBER(
   IF(J_V="SI",(Datos!K9-Datos!U9)/Datos!U9,(Datos!K9+Datos!AA9-(Datos!U9+Datos!AI9))/(Datos!U9+Datos!AI9))
     ),IF(J_V="SI",(Datos!K9-Datos!U9)/Datos!U9,(Datos!K9+Datos!AA9-(Datos!U9+Datos!AI9))/(Datos!U9+Datos!AI9))," - ")</f>
        <v>-0.26598465473145783</v>
      </c>
      <c r="E9" s="515">
        <f>IF(ISNUMBER(
   IF(J_V="SI",(Datos!L9-Datos!V9)/Datos!V9,(Datos!L9+Datos!AB9-(Datos!V9+Datos!AJ9))/(Datos!V9+Datos!AJ9))
     ),IF(J_V="SI",(Datos!L9-Datos!V9)/Datos!V9,(Datos!L9+Datos!AB9-(Datos!V9+Datos!AJ9))/(Datos!V9+Datos!AJ9))," - ")</f>
        <v>-2.5174825174825177E-2</v>
      </c>
      <c r="F9" s="515">
        <f>IF(ISNUMBER((Datos!M9-Datos!W9)/Datos!W9),(Datos!M9-Datos!W9)/Datos!W9," - ")</f>
        <v>-0.08</v>
      </c>
      <c r="G9" s="516">
        <f>IF(ISNUMBER((Datos!N9-Datos!X9)/Datos!X9),(Datos!N9-Datos!X9)/Datos!X9," - ")</f>
        <v>-0.43293492695883135</v>
      </c>
      <c r="H9" s="514">
        <f>IF(ISNUMBER(((NºAsuntos!G9/NºAsuntos!E9)-Datos!BD9)/Datos!BD9),((NºAsuntos!G9/NºAsuntos!E9)-Datos!BD9)/Datos!BD9," - ")</f>
        <v>-0.2932545746795151</v>
      </c>
      <c r="I9" s="515">
        <f>IF(ISNUMBER(((NºAsuntos!I9/NºAsuntos!G9)-Datos!BE9)/Datos!BE9),((NºAsuntos!I9/NºAsuntos!G9)-Datos!BE9)/Datos!BE9," - ")</f>
        <v>0.32807192807192814</v>
      </c>
      <c r="J9" s="521">
        <f>IF(ISNUMBER((('Resol  Asuntos'!D9/NºAsuntos!G9)-Datos!BF9)/Datos!BF9),(('Resol  Asuntos'!D9/NºAsuntos!G9)-Datos!BF9)/Datos!BF9," - ")</f>
        <v>-0.50064550161722443</v>
      </c>
      <c r="K9" s="522">
        <f>IF(ISNUMBER((((NºAsuntos!C9+NºAsuntos!E9)/NºAsuntos!G9)-Datos!BG9)/Datos!BG9),(((NºAsuntos!C9+NºAsuntos!E9)/NºAsuntos!G9)-Datos!BG9)/Datos!BG9," - ")</f>
        <v>0.18909034915502188</v>
      </c>
    </row>
    <row r="10" spans="1:11">
      <c r="A10" s="450" t="str">
        <f>Datos!A10</f>
        <v>Jdos. Violencia contra la mujer</v>
      </c>
      <c r="B10" s="514">
        <f>IF(ISNUMBER((Datos!I10-Datos!S10)/Datos!S10),(Datos!I10-Datos!S10)/Datos!S10," - ")</f>
        <v>-0.20930232558139536</v>
      </c>
      <c r="C10" s="515">
        <f>IF(ISNUMBER((Datos!J10-Datos!T10)/Datos!T10),(Datos!J10-Datos!T10)/Datos!T10," - ")</f>
        <v>0</v>
      </c>
      <c r="D10" s="515">
        <f>IF(ISNUMBER((Datos!K10-Datos!U10)/Datos!U10),(Datos!K10-Datos!U10)/Datos!U10," - ")</f>
        <v>-0.48148148148148145</v>
      </c>
      <c r="E10" s="515">
        <f>IF(ISNUMBER((Datos!L10-Datos!V10)/Datos!V10),(Datos!L10-Datos!V10)/Datos!V10," - ")</f>
        <v>0.14814814814814814</v>
      </c>
      <c r="F10" s="515">
        <f>IF(ISNUMBER((Datos!M10-Datos!W10)/Datos!W10),(Datos!M10-Datos!W10)/Datos!W10," - ")</f>
        <v>-0.14285714285714285</v>
      </c>
      <c r="G10" s="516">
        <f>IF(ISNUMBER((Datos!N10-Datos!X10)/Datos!X10),(Datos!N10-Datos!X10)/Datos!X10," - ")</f>
        <v>-0.54545454545454541</v>
      </c>
      <c r="H10" s="514">
        <f>IF(ISNUMBER(((NºAsuntos!G10/NºAsuntos!E10)-Datos!BD10)/Datos!BD10),((NºAsuntos!G10/NºAsuntos!E10)-Datos!BD10)/Datos!BD10," - ")</f>
        <v>-0.48148148148148151</v>
      </c>
      <c r="I10" s="515">
        <f>IF(ISNUMBER(((NºAsuntos!I10/NºAsuntos!G10)-Datos!BE10)/Datos!BE10),((NºAsuntos!I10/NºAsuntos!G10)-Datos!BE10)/Datos!BE10," - ")</f>
        <v>1.2142857142857144</v>
      </c>
      <c r="J10" s="521">
        <f>IF(ISNUMBER((('Resol  Asuntos'!D10/NºAsuntos!G10)-Datos!BF10)/Datos!BF10),(('Resol  Asuntos'!D10/NºAsuntos!G10)-Datos!BF10)/Datos!BF10," - ")</f>
        <v>0.65306122448979587</v>
      </c>
      <c r="K10" s="522">
        <f>IF(ISNUMBER((((NºAsuntos!C10+NºAsuntos!E10)/NºAsuntos!G10)-Datos!BG10)/Datos!BG10),(((NºAsuntos!C10+NºAsuntos!E10)/NºAsuntos!G10)-Datos!BG10)/Datos!BG10," - ")</f>
        <v>0.60714285714285721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-0.22986577181208054</v>
      </c>
      <c r="C11" s="515">
        <f>IF(ISNUMBER(
   IF(J_V="SI",(Datos!J11-Datos!T11)/Datos!T11,(Datos!J11+Datos!Z11-(Datos!T11+Datos!AH11))/(Datos!T11+Datos!AH11))
     ),IF(J_V="SI",(Datos!J11-Datos!T11)/Datos!T11,(Datos!J11+Datos!Z11-(Datos!T11+Datos!AH11))/(Datos!T11+Datos!AH11))," - ")</f>
        <v>0.2064343163538874</v>
      </c>
      <c r="D11" s="515">
        <f>IF(ISNUMBER(
   IF(J_V="SI",(Datos!K11-Datos!U11)/Datos!U11,(Datos!K11+Datos!AA11-(Datos!U11+Datos!AI11))/(Datos!U11+Datos!AI11))
     ),IF(J_V="SI",(Datos!K11-Datos!U11)/Datos!U11,(Datos!K11+Datos!AA11-(Datos!U11+Datos!AI11))/(Datos!U11+Datos!AI11))," - ")</f>
        <v>0.14647887323943662</v>
      </c>
      <c r="E11" s="515">
        <f>IF(ISNUMBER(
   IF(J_V="SI",(Datos!L11-Datos!V11)/Datos!V11,(Datos!L11+Datos!AB11-(Datos!V11+Datos!AJ11))/(Datos!V11+Datos!AJ11))
     ),IF(J_V="SI",(Datos!L11-Datos!V11)/Datos!V11,(Datos!L11+Datos!AB11-(Datos!V11+Datos!AJ11))/(Datos!V11+Datos!AJ11))," - ")</f>
        <v>-0.17298187808896212</v>
      </c>
      <c r="F11" s="515">
        <f>IF(ISNUMBER((Datos!M11-Datos!W11)/Datos!W11),(Datos!M11-Datos!W11)/Datos!W11," - ")</f>
        <v>-0.10101010101010101</v>
      </c>
      <c r="G11" s="516">
        <f>IF(ISNUMBER((Datos!N11-Datos!X11)/Datos!X11),(Datos!N11-Datos!X11)/Datos!X11," - ")</f>
        <v>9.8591549295774641E-2</v>
      </c>
      <c r="H11" s="514">
        <f>IF(ISNUMBER(((NºAsuntos!G11/NºAsuntos!E11)-Datos!BD11)/Datos!BD11),((NºAsuntos!G11/NºAsuntos!E11)-Datos!BD11)/Datos!BD11," - ")</f>
        <v>-4.9696400625978007E-2</v>
      </c>
      <c r="I11" s="515">
        <f>IF(ISNUMBER(((NºAsuntos!I11/NºAsuntos!G11)-Datos!BE11)/Datos!BE11),((NºAsuntos!I11/NºAsuntos!G11)-Datos!BE11)/Datos!BE11," - ")</f>
        <v>-0.27864512708005285</v>
      </c>
      <c r="J11" s="521">
        <f>IF(ISNUMBER((('Resol  Asuntos'!D11/NºAsuntos!G11)-Datos!BF11)/Datos!BF11),(('Resol  Asuntos'!D11/NºAsuntos!G11)-Datos!BF11)/Datos!BF11," - ")</f>
        <v>-0.63554463554463558</v>
      </c>
      <c r="K11" s="522">
        <f>IF(ISNUMBER((((NºAsuntos!C11+NºAsuntos!E11)/NºAsuntos!G11)-Datos!BG11)/Datos!BG11),(((NºAsuntos!C11+NºAsuntos!E11)/NºAsuntos!G11)-Datos!BG11)/Datos!BG11," - ")</f>
        <v>-0.18177254090566786</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f>IF(ISNUMBER((Datos!N12-Datos!X12)/Datos!X12),(Datos!N12-Datos!X12)/Datos!X12," - ")</f>
        <v>-0.5</v>
      </c>
      <c r="H12" s="514" t="str">
        <f>IF(ISNUMBER(((NºAsuntos!G12/NºAsuntos!E12)-Datos!BD12)/Datos!BD12),((NºAsuntos!G12/NºAsuntos!E12)-Datos!BD12)/Datos!BD12," - ")</f>
        <v xml:space="preserve"> - </v>
      </c>
      <c r="I12" s="515">
        <f>IF(ISNUMBER(((NºAsuntos!I12/NºAsuntos!G12)-Datos!BE12)/Datos!BE12),((NºAsuntos!I12/NºAsuntos!G12)-Datos!BE12)/Datos!BE12," - ")</f>
        <v>1</v>
      </c>
      <c r="J12" s="521">
        <f>IF(ISNUMBER((('Resol  Asuntos'!D12/NºAsuntos!G12)-Datos!BF12)/Datos!BF12),(('Resol  Asuntos'!D12/NºAsuntos!G12)-Datos!BF12)/Datos!BF12," - ")</f>
        <v>-1</v>
      </c>
      <c r="K12" s="522">
        <f>IF(ISNUMBER((((NºAsuntos!C12+NºAsuntos!E12)/NºAsuntos!G12)-Datos!BG12)/Datos!BG12),(((NºAsuntos!C12+NºAsuntos!E12)/NºAsuntos!G12)-Datos!BG12)/Datos!BG12," - ")</f>
        <v>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-0.2146074646074646</v>
      </c>
      <c r="C14" s="1152">
        <f>IF(ISNUMBER(
   IF(J_V="SI",(Datos!J14-Datos!T14)/Datos!T14,(Datos!J14+Datos!Z14-(Datos!T14+Datos!AH14))/(Datos!T14+Datos!AH14))
     ),IF(J_V="SI",(Datos!J14-Datos!T14)/Datos!T14,(Datos!J14+Datos!Z14-(Datos!T14+Datos!AH14))/(Datos!T14+Datos!AH14))," - ")</f>
        <v>7.8009828009828017E-2</v>
      </c>
      <c r="D14" s="1152">
        <f>IF(ISNUMBER(
   IF(J_V="SI",(Datos!K14-Datos!U14)/Datos!U14,(Datos!K14+Datos!AA14-(Datos!U14+Datos!AI14))/(Datos!U14+Datos!AI14))
     ),IF(J_V="SI",(Datos!K14-Datos!U14)/Datos!U14,(Datos!K14+Datos!AA14-(Datos!U14+Datos!AI14))/(Datos!U14+Datos!AI14))," - ")</f>
        <v>-0.1936312275295326</v>
      </c>
      <c r="E14" s="1152">
        <f>IF(ISNUMBER(
   IF(J_V="SI",(Datos!L14-Datos!V14)/Datos!V14,(Datos!L14+Datos!AB14-(Datos!V14+Datos!AJ14))/(Datos!V14+Datos!AJ14))
     ),IF(J_V="SI",(Datos!L14-Datos!V14)/Datos!V14,(Datos!L14+Datos!AB14-(Datos!V14+Datos!AJ14))/(Datos!V14+Datos!AJ14))," - ")</f>
        <v>-5.5395683453237407E-2</v>
      </c>
      <c r="F14" s="1153">
        <f>IF(ISNUMBER((Datos!M14-Datos!W14)/Datos!W14),(Datos!M14-Datos!W14)/Datos!W14," - ")</f>
        <v>-8.6206896551724144E-2</v>
      </c>
      <c r="G14" s="1154">
        <f>IF(ISNUMBER((Datos!N14-Datos!X14)/Datos!X14),(Datos!N14-Datos!X14)/Datos!X14," - ")</f>
        <v>-0.31869254341164455</v>
      </c>
      <c r="H14" s="1154">
        <f>IF(ISNUMBER(((NºAsuntos!G14/NºAsuntos!E14)-Datos!BD14)/Datos!BD14),((NºAsuntos!G14/NºAsuntos!E14)-Datos!BD14)/Datos!BD14," - ")</f>
        <v>-0.25198383955446113</v>
      </c>
      <c r="I14" s="1154">
        <f>IF(ISNUMBER(((NºAsuntos!I14/NºAsuntos!G14)-Datos!BE14)/Datos!BE14),((NºAsuntos!I14/NºAsuntos!G14)-Datos!BE14)/Datos!BE14," - ")</f>
        <v>0.1714296842780553</v>
      </c>
      <c r="J14" s="1154">
        <f>IF(ISNUMBER((('Resol  Asuntos'!D14/NºAsuntos!G14)-Datos!BF14)/Datos!BF14),(('Resol  Asuntos'!D14/NºAsuntos!G14)-Datos!BF14)/Datos!BF14," - ")</f>
        <v>-0.52811562959333658</v>
      </c>
      <c r="K14" s="1154">
        <f>IF(ISNUMBER((((NºAsuntos!C14+NºAsuntos!E14)/NºAsuntos!G14)-Datos!BG14)/Datos!BG14),(((NºAsuntos!C14+NºAsuntos!E14)/NºAsuntos!G14)-Datos!BG14)/Datos!BG14," - ")</f>
        <v>9.8727728524702935E-2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-0.23061630218687873</v>
      </c>
      <c r="C16" s="515">
        <f>IF(ISNUMBER(
   IF(D_I="SI",(Datos!J16-Datos!T16)/Datos!T16,(Datos!J16+Datos!AD16-(Datos!T16+Datos!AL16))/(Datos!T16+Datos!AL16))
     ),IF(D_I="SI",(Datos!J16-Datos!T16)/Datos!T16,(Datos!J16+Datos!AD16-(Datos!T16+Datos!AL16))/(Datos!T16+Datos!AL16))," - ")</f>
        <v>0.14285714285714285</v>
      </c>
      <c r="D16" s="515">
        <f>IF(ISNUMBER(
   IF(D_I="SI",(Datos!K16-Datos!U16)/Datos!U16,(Datos!K16+Datos!AE16-(Datos!U16+Datos!AM16))/(Datos!U16+Datos!AM16))
     ),IF(D_I="SI",(Datos!K16-Datos!U16)/Datos!U16,(Datos!K16+Datos!AE16-(Datos!U16+Datos!AM16))/(Datos!U16+Datos!AM16))," - ")</f>
        <v>-5.0092764378478663E-2</v>
      </c>
      <c r="E16" s="515">
        <f>IF(ISNUMBER(
   IF(D_I="SI",(Datos!L16-Datos!V16)/Datos!V16,(Datos!L16+Datos!AF16-(Datos!V16+Datos!AN16))/(Datos!V16+Datos!AN16))
     ),IF(D_I="SI",(Datos!L16-Datos!V16)/Datos!V16,(Datos!L16+Datos!AF16-(Datos!V16+Datos!AN16))/(Datos!V16+Datos!AN16))," - ")</f>
        <v>-0.20566194837635304</v>
      </c>
      <c r="F16" s="515">
        <f>IF(ISNUMBER((Datos!M16-Datos!W16)/Datos!W16),(Datos!M16-Datos!W16)/Datos!W16," - ")</f>
        <v>6.4676616915422883E-2</v>
      </c>
      <c r="G16" s="516">
        <f>IF(ISNUMBER((Datos!N16-Datos!X16)/Datos!X16),(Datos!N16-Datos!X16)/Datos!X16," - ")</f>
        <v>-0.21060842433697347</v>
      </c>
      <c r="H16" s="514">
        <f>IF(ISNUMBER(((NºAsuntos!G16/NºAsuntos!E16)-Datos!BD16)/Datos!BD16),((NºAsuntos!G16/NºAsuntos!E16)-Datos!BD16)/Datos!BD16," - ")</f>
        <v>-0.16883116883116883</v>
      </c>
      <c r="I16" s="515">
        <f>IF(ISNUMBER(((NºAsuntos!I16/NºAsuntos!G16)-Datos!BE16)/Datos!BE16),((NºAsuntos!I16/NºAsuntos!G16)-Datos!BE16)/Datos!BE16," - ")</f>
        <v>-0.16377302768526222</v>
      </c>
      <c r="J16" s="521">
        <f>IF(ISNUMBER((('Resol  Asuntos'!D16/NºAsuntos!G16)-Datos!BF16)/Datos!BF16),(('Resol  Asuntos'!D16/NºAsuntos!G16)-Datos!BF16)/Datos!BF16," - ")</f>
        <v>0.12082167288557212</v>
      </c>
      <c r="K16" s="522">
        <f>IF(ISNUMBER((((NºAsuntos!C16+NºAsuntos!E16)/NºAsuntos!G16)-Datos!BG16)/Datos!BG16),(((NºAsuntos!C16+NºAsuntos!E16)/NºAsuntos!G16)-Datos!BG16)/Datos!BG16," - ")</f>
        <v>-5.7204537351908703E-2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-5.0847457627118647E-2</v>
      </c>
      <c r="C18" s="515">
        <f>IF(ISNUMBER(
   IF(D_I="SI",(Datos!J18-Datos!T18)/Datos!T18,(Datos!J18+Datos!AD18-(Datos!T18+Datos!AL18))/(Datos!T18+Datos!AL18))
     ),IF(D_I="SI",(Datos!J18-Datos!T18)/Datos!T18,(Datos!J18+Datos!AD18-(Datos!T18+Datos!AL18))/(Datos!T18+Datos!AL18))," - ")</f>
        <v>-0.1111111111111111</v>
      </c>
      <c r="D18" s="515">
        <f>IF(ISNUMBER(
   IF(D_I="SI",(Datos!K18-Datos!U18)/Datos!U18,(Datos!K18+Datos!AE18-(Datos!U18+Datos!AM18))/(Datos!U18+Datos!AM18))
     ),IF(D_I="SI",(Datos!K18-Datos!U18)/Datos!U18,(Datos!K18+Datos!AE18-(Datos!U18+Datos!AM18))/(Datos!U18+Datos!AM18))," - ")</f>
        <v>-0.15853658536585366</v>
      </c>
      <c r="E18" s="515">
        <f>IF(ISNUMBER(
   IF(D_I="SI",(Datos!L18-Datos!V18)/Datos!V18,(Datos!L18+Datos!AF18-(Datos!V18+Datos!AN18))/(Datos!V18+Datos!AN18))
     ),IF(D_I="SI",(Datos!L18-Datos!V18)/Datos!V18,(Datos!L18+Datos!AF18-(Datos!V18+Datos!AN18))/(Datos!V18+Datos!AN18))," - ")</f>
        <v>-5.1724137931034482E-2</v>
      </c>
      <c r="F18" s="515">
        <f>IF(ISNUMBER((Datos!M18-Datos!W18)/Datos!W18),(Datos!M18-Datos!W18)/Datos!W18," - ")</f>
        <v>-0.3</v>
      </c>
      <c r="G18" s="516">
        <f>IF(ISNUMBER((Datos!N18-Datos!X18)/Datos!X18),(Datos!N18-Datos!X18)/Datos!X18," - ")</f>
        <v>6.0606060606060608E-2</v>
      </c>
      <c r="H18" s="514">
        <f>IF(ISNUMBER(((NºAsuntos!G18/NºAsuntos!E18)-Datos!BD18)/Datos!BD18),((NºAsuntos!G18/NºAsuntos!E18)-Datos!BD18)/Datos!BD18," - ")</f>
        <v>-5.3353658536585379E-2</v>
      </c>
      <c r="I18" s="515">
        <f>IF(ISNUMBER(((NºAsuntos!I18/NºAsuntos!G18)-Datos!BE18)/Datos!BE18),((NºAsuntos!I18/NºAsuntos!G18)-Datos!BE18)/Datos!BE18," - ")</f>
        <v>0.12693653173413297</v>
      </c>
      <c r="J18" s="521">
        <f>IF(ISNUMBER((('Resol  Asuntos'!D18/NºAsuntos!G18)-Datos!BF18)/Datos!BF18),(('Resol  Asuntos'!D18/NºAsuntos!G18)-Datos!BF18)/Datos!BF18," - ")</f>
        <v>-0.16811594202898544</v>
      </c>
      <c r="K18" s="522">
        <f>IF(ISNUMBER((((NºAsuntos!C18+NºAsuntos!E18)/NºAsuntos!G18)-Datos!BG18)/Datos!BG18),(((NºAsuntos!C18+NºAsuntos!E18)/NºAsuntos!G18)-Datos!BG18)/Datos!BG18," - ")</f>
        <v>8.6542443064182226E-2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-0.22385204081632654</v>
      </c>
      <c r="C23" s="1152">
        <f>IF(ISNUMBER(
   IF(Criterios!B14="SI",(Datos!J23-Datos!T23)/Datos!T23,(Datos!J23+Datos!AD23-(Datos!T23+Datos!AL23))/(Datos!T23+Datos!AL23))
     ),IF(Criterios!B14="SI",(Datos!J23-Datos!T23)/Datos!T23,(Datos!J23+Datos!AD23-(Datos!T23+Datos!AL23))/(Datos!T23+Datos!AL23))," - ")</f>
        <v>0.11868390129259694</v>
      </c>
      <c r="D23" s="1152">
        <f>IF(ISNUMBER(
   IF(Criterios!B14="SI",(Datos!K23-Datos!U23)/Datos!U23,(Datos!K23+Datos!AE23-(Datos!U23+Datos!AM23))/(Datos!U23+Datos!AM23))
     ),IF(Criterios!B14="SI",(Datos!K23-Datos!U23)/Datos!U23,(Datos!K23+Datos!AE23-(Datos!U23+Datos!AM23))/(Datos!U23+Datos!AM23))," - ")</f>
        <v>-5.775862068965517E-2</v>
      </c>
      <c r="E23" s="1152">
        <f>IF(ISNUMBER(
   IF(Criterios!B14="SI",(Datos!L23-Datos!V23)/Datos!V23,(Datos!L23+Datos!AF23-(Datos!V23+Datos!AN23))/(Datos!V23+Datos!AN23))
     ),IF(Criterios!B14="SI",(Datos!L23-Datos!V23)/Datos!V23,(Datos!L23+Datos!AF23-(Datos!V23+Datos!AN23))/(Datos!V23+Datos!AN23))," - ")</f>
        <v>-0.19857029388403494</v>
      </c>
      <c r="F23" s="1153">
        <f>IF(ISNUMBER((Datos!M23-Datos!W23)/Datos!W23),(Datos!M23-Datos!W23)/Datos!W23," - ")</f>
        <v>3.1674208144796379E-2</v>
      </c>
      <c r="G23" s="1154">
        <f>IF(ISNUMBER((Datos!N23-Datos!X23)/Datos!X23),(Datos!N23-Datos!X23)/Datos!X23," - ")</f>
        <v>-0.19732937685459942</v>
      </c>
      <c r="H23" s="1154">
        <f>IF(ISNUMBER(((NºAsuntos!G23/NºAsuntos!E23)-Datos!BD23)/Datos!BD23),((NºAsuntos!G23/NºAsuntos!E23)-Datos!BD23)/Datos!BD23," - ")</f>
        <v>-0.15772330483917707</v>
      </c>
      <c r="I23" s="1154">
        <f>IF(ISNUMBER(((NºAsuntos!I23/NºAsuntos!G23)-Datos!BE23)/Datos!BE23),((NºAsuntos!I23/NºAsuntos!G23)-Datos!BE23)/Datos!BE23," - ")</f>
        <v>-0.14944331281379744</v>
      </c>
      <c r="J23" s="1154">
        <f>IF(ISNUMBER((('Resol  Asuntos'!D23/NºAsuntos!G23)-Datos!BF23)/Datos!BF23),(('Resol  Asuntos'!D23/NºAsuntos!G23)-Datos!BF23)/Datos!BF23," - ")</f>
        <v>9.4914987601064815E-2</v>
      </c>
      <c r="K23" s="1154">
        <f>IF(ISNUMBER((((NºAsuntos!C23+NºAsuntos!E23)/NºAsuntos!G23)-Datos!BG23)/Datos!BG23),(((NºAsuntos!C23+NºAsuntos!E23)/NºAsuntos!G23)-Datos!BG23)/Datos!BG23," - ")</f>
        <v>-4.8384491939574024E-2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-0.21770744225834046</v>
      </c>
      <c r="C31" s="1092">
        <f>IF(ISNUMBER(
   IF(J_V="SI",(Datos!J31-Datos!T31)/Datos!T31,(Datos!J31+Datos!Z31-(Datos!T31+Datos!AH31))/(Datos!T31+Datos!AH31))
     ),IF(J_V="SI",(Datos!J31-Datos!T31)/Datos!T31,(Datos!J31+Datos!Z31-(Datos!T31+Datos!AH31))/(Datos!T31+Datos!AH31))," - ")</f>
        <v>9.1972569584509889E-2</v>
      </c>
      <c r="D31" s="1092">
        <f>IF(ISNUMBER(
   IF(J_V="SI",(Datos!K31-Datos!U31)/Datos!U31,(Datos!K31+Datos!AA31-(Datos!U31+Datos!AI31))/(Datos!U31+Datos!AI31))
     ),IF(J_V="SI",(Datos!K31-Datos!U31)/Datos!U31,(Datos!K31+Datos!AA31-(Datos!U31+Datos!AI31))/(Datos!U31+Datos!AI31))," - ")</f>
        <v>-0.1429031219826199</v>
      </c>
      <c r="E31" s="1092">
        <f>IF(ISNUMBER(
   IF(J_V="SI",(Datos!L31-Datos!V31)/Datos!V31,(Datos!L31+Datos!AB31-(Datos!V31+Datos!AJ31))/(Datos!V31+Datos!AJ31))
     ),IF(J_V="SI",(Datos!L31-Datos!V31)/Datos!V31,(Datos!L31+Datos!AB31-(Datos!V31+Datos!AJ31))/(Datos!V31+Datos!AJ31))," - ")</f>
        <v>-0.10002475860361476</v>
      </c>
      <c r="F31" s="1093">
        <f>IF(ISNUMBER((Datos!M31-Datos!W31)/Datos!W31),(Datos!M31-Datos!W31)/Datos!W31," - ")</f>
        <v>-4.4657097288676235E-2</v>
      </c>
      <c r="G31" s="1094">
        <f>IF(ISNUMBER((Datos!N31-Datos!X31)/Datos!X31),(Datos!N31-Datos!X31)/Datos!X31," - ")</f>
        <v>-0.26920750151240169</v>
      </c>
      <c r="H31" s="1095">
        <f>IF(ISNUMBER((Tasas!B31-Datos!BD31)/Datos!BD31),(Tasas!B31-Datos!BD31)/Datos!BD31," - ")</f>
        <v>-0.21509303265419824</v>
      </c>
      <c r="I31" s="1096">
        <f>IF(ISNUMBER((Tasas!C31-Datos!BE31)/Datos!BE31),(Tasas!C31-Datos!BE31)/Datos!BE31," - ")</f>
        <v>5.002744086315021E-2</v>
      </c>
      <c r="J31" s="1097">
        <f>IF(ISNUMBER((Tasas!D31-Datos!BF31)/Datos!BF31),(Tasas!D31-Datos!BF31)/Datos!BF31," - ")</f>
        <v>-0.4156598475077144</v>
      </c>
      <c r="K31" s="1097">
        <f>IF(ISNUMBER((Tasas!E31-Datos!BG31)/Datos!BG31),(Tasas!E31-Datos!BG31)/Datos!BG31," - ")</f>
        <v>3.7907993512043485E-2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X2LBW4mCxYYl4ogKCf7C8PQNbAErkf+8LGa0mcFueXpWU6QHGZDyIGNaA7L9vnD/pjT5e+eTXS4AwSF01C8bw==" saltValue="uLoDkdWTVKpWxoNSe9Qf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PONTEVEDRA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0.88854489164086692</v>
      </c>
      <c r="C9" s="498">
        <f>IF(ISNUMBER(NºAsuntos!I9/NºAsuntos!G9),NºAsuntos!I9/NºAsuntos!G9," - ")</f>
        <v>1.8214285714285714</v>
      </c>
      <c r="D9" s="499">
        <f>IF(ISNUMBER('Resol  Asuntos'!D9/NºAsuntos!G9),'Resol  Asuntos'!D9/NºAsuntos!G9," - ")</f>
        <v>0.24041811846689895</v>
      </c>
      <c r="E9" s="500">
        <f>IF(ISNUMBER((NºAsuntos!C9+NºAsuntos!E9)/NºAsuntos!G9),(NºAsuntos!C9+NºAsuntos!E9)/NºAsuntos!G9," - ")</f>
        <v>2.8214285714285716</v>
      </c>
      <c r="G9" s="523"/>
    </row>
    <row r="10" spans="1:7">
      <c r="A10" s="450" t="str">
        <f>Datos!A10</f>
        <v>Jdos. Violencia contra la mujer</v>
      </c>
      <c r="B10" s="497">
        <f>IF(ISNUMBER(NºAsuntos!G10/NºAsuntos!E10),NºAsuntos!G10/NºAsuntos!E10," - ")</f>
        <v>1.2727272727272727</v>
      </c>
      <c r="C10" s="498">
        <f>IF(ISNUMBER(NºAsuntos!I10/NºAsuntos!G10),NºAsuntos!I10/NºAsuntos!G10," - ")</f>
        <v>2.2142857142857144</v>
      </c>
      <c r="D10" s="499">
        <f>IF(ISNUMBER('Resol  Asuntos'!D10/NºAsuntos!G10),'Resol  Asuntos'!D10/NºAsuntos!G10," - ")</f>
        <v>0.42857142857142855</v>
      </c>
      <c r="E10" s="500">
        <f>IF(ISNUMBER((NºAsuntos!C10+NºAsuntos!E10)/NºAsuntos!G10),(NºAsuntos!C10+NºAsuntos!E10)/NºAsuntos!G10," - ")</f>
        <v>3.2142857142857144</v>
      </c>
      <c r="G10" s="523"/>
    </row>
    <row r="11" spans="1:7">
      <c r="A11" s="450" t="str">
        <f>Datos!A11</f>
        <v xml:space="preserve">Jdos. Familia                                   </v>
      </c>
      <c r="B11" s="497">
        <f>IF(ISNUMBER(NºAsuntos!G11/NºAsuntos!E11),NºAsuntos!G11/NºAsuntos!E11," - ")</f>
        <v>0.9044444444444445</v>
      </c>
      <c r="C11" s="498">
        <f>IF(ISNUMBER(NºAsuntos!I11/NºAsuntos!G11),NºAsuntos!I11/NºAsuntos!G11," - ")</f>
        <v>1.2334152334152335</v>
      </c>
      <c r="D11" s="499">
        <f>IF(ISNUMBER('Resol  Asuntos'!D11/NºAsuntos!G11),'Resol  Asuntos'!D11/NºAsuntos!G11," - ")</f>
        <v>0.21867321867321868</v>
      </c>
      <c r="E11" s="500">
        <f>IF(ISNUMBER((NºAsuntos!C11+NºAsuntos!E11)/NºAsuntos!G11),(NºAsuntos!C11+NºAsuntos!E11)/NºAsuntos!G11," - ")</f>
        <v>2.2334152334152333</v>
      </c>
      <c r="G11" s="523"/>
    </row>
    <row r="12" spans="1:7">
      <c r="A12" s="450" t="str">
        <f>Datos!A12</f>
        <v xml:space="preserve">Jdos. 1ª Instª. e Instr.                        </v>
      </c>
      <c r="B12" s="497">
        <f>IF(ISNUMBER(NºAsuntos!G12/NºAsuntos!E12),NºAsuntos!G12/NºAsuntos!E12," - ")</f>
        <v>0.5</v>
      </c>
      <c r="C12" s="498">
        <f>IF(ISNUMBER(NºAsuntos!I12/NºAsuntos!G12),NºAsuntos!I12/NºAsuntos!G12," - ")</f>
        <v>2</v>
      </c>
      <c r="D12" s="499">
        <f>IF(ISNUMBER('Resol  Asuntos'!D12/NºAsuntos!G12),'Resol  Asuntos'!D12/NºAsuntos!G12," - ")</f>
        <v>0</v>
      </c>
      <c r="E12" s="500">
        <f>IF(ISNUMBER((NºAsuntos!C12+NºAsuntos!E12)/NºAsuntos!G12),(NºAsuntos!C12+NºAsuntos!E12)/NºAsuntos!G12," - ")</f>
        <v>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0.89458689458689455</v>
      </c>
      <c r="C14" s="1156">
        <f>IF(ISNUMBER(NºAsuntos!I14/NºAsuntos!G14),NºAsuntos!I14/NºAsuntos!G14," - ")</f>
        <v>1.6726114649681529</v>
      </c>
      <c r="D14" s="1157">
        <f>IF(ISNUMBER('Resol  Asuntos'!D14/NºAsuntos!G14),'Resol  Asuntos'!D14/NºAsuntos!G14," - ")</f>
        <v>0.23630573248407644</v>
      </c>
      <c r="E14" s="1158">
        <f>IF(ISNUMBER((NºAsuntos!C14+NºAsuntos!E14)/NºAsuntos!G14),(NºAsuntos!C14+NºAsuntos!E14)/NºAsuntos!G14," - ")</f>
        <v>2.6726114649681527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1.1636363636363636</v>
      </c>
      <c r="C16" s="498">
        <f>IF(ISNUMBER(NºAsuntos!I16/NºAsuntos!G16),NºAsuntos!I16/NºAsuntos!G16," - ")</f>
        <v>0.931640625</v>
      </c>
      <c r="D16" s="499">
        <f>IF(ISNUMBER('Resol  Asuntos'!D16/NºAsuntos!G16),'Resol  Asuntos'!D16/NºAsuntos!G16," - ")</f>
        <v>0.208984375</v>
      </c>
      <c r="E16" s="500">
        <f>IF(ISNUMBER((NºAsuntos!C16+NºAsuntos!E16)/NºAsuntos!G16),(NºAsuntos!C16+NºAsuntos!E16)/NºAsuntos!G16," - ")</f>
        <v>1.9931640625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0.95833333333333337</v>
      </c>
      <c r="C18" s="498">
        <f>IF(ISNUMBER(NºAsuntos!I18/NºAsuntos!G18),NºAsuntos!I18/NºAsuntos!G18," - ")</f>
        <v>0.79710144927536231</v>
      </c>
      <c r="D18" s="499">
        <f>IF(ISNUMBER('Resol  Asuntos'!D18/NºAsuntos!G18),'Resol  Asuntos'!D18/NºAsuntos!G18," - ")</f>
        <v>0.20289855072463769</v>
      </c>
      <c r="E18" s="500">
        <f>IF(ISNUMBER((NºAsuntos!C18+NºAsuntos!E18)/NºAsuntos!G18),(NºAsuntos!C18+NºAsuntos!E18)/NºAsuntos!G18," - ")</f>
        <v>1.855072463768116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1.1481092436974789</v>
      </c>
      <c r="C23" s="1156">
        <f>IF(ISNUMBER(NºAsuntos!I23/NºAsuntos!G23),NºAsuntos!I23/NºAsuntos!G23," - ")</f>
        <v>0.92314730100640441</v>
      </c>
      <c r="D23" s="1159">
        <f>IF(ISNUMBER('Resol  Asuntos'!D23/NºAsuntos!G23),'Resol  Asuntos'!D23/NºAsuntos!G23," - ")</f>
        <v>0.20860018298261665</v>
      </c>
      <c r="E23" s="1158">
        <f>IF(ISNUMBER((NºAsuntos!C23+NºAsuntos!E23)/NºAsuntos!G23),(NºAsuntos!C23+NºAsuntos!E23)/NºAsuntos!G23," - ")</f>
        <v>1.9844464775846296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0.98374584410786847</v>
      </c>
      <c r="C31" s="1099">
        <f>IF(ISNUMBER(NºAsuntos!I31/NºAsuntos!G31),NºAsuntos!I31/NºAsuntos!G31," - ")</f>
        <v>1.3650018775816748</v>
      </c>
      <c r="D31" s="1100">
        <f>IF(ISNUMBER('Resol  Asuntos'!D31/NºAsuntos!G31),'Resol  Asuntos'!D31/NºAsuntos!G31," - ")</f>
        <v>0.2249342846413819</v>
      </c>
      <c r="E31" s="1101">
        <f>IF(ISNUMBER((NºAsuntos!C31+NºAsuntos!E31)/NºAsuntos!G31),(NºAsuntos!C31+NºAsuntos!E31)/NºAsuntos!G31," - ")</f>
        <v>2.3901614720240332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y5iVWyOhWisDfyx2ZFcJyFf9zQw8+9yO2QJBHBVnE5XsqgnDTb9YymJXe8XN2OrbEv/4Z7CB4p1y+a3mifImw==" saltValue="s9FlpUhkcctw0ZIvZIWO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PONTEVEDRA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1 al 1</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4</v>
      </c>
      <c r="B9" s="190" t="s">
        <v>317</v>
      </c>
      <c r="C9" s="173" t="str">
        <f>Datos!A9</f>
        <v xml:space="preserve">Jdos. 1ª Instancia   </v>
      </c>
      <c r="D9" s="173"/>
      <c r="E9" s="1402">
        <f>IF(ISNUMBER(Datos!AQ9),Datos!AQ9," - ")</f>
        <v>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328</v>
      </c>
      <c r="Y9" s="374">
        <f>SUM(W9:X9)</f>
        <v>328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4420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276</v>
      </c>
      <c r="AJ9" s="243" t="str">
        <f>IF(ISNUMBER(Datos!BW9),Datos!BW9," - ")</f>
        <v xml:space="preserve"> - </v>
      </c>
      <c r="AK9" s="242" t="str">
        <f>IF(ISNUMBER(Datos!BX9),Datos!BX9," - ")</f>
        <v xml:space="preserve"> - </v>
      </c>
      <c r="AL9" s="266">
        <f>IF(ISNUMBER(NºAsuntos!G9/NºAsuntos!E9),NºAsuntos!G9/NºAsuntos!E9," - ")</f>
        <v>0.88854489164086692</v>
      </c>
      <c r="AM9" s="284">
        <f>IF(ISNUMBER(((NºAsuntos!I9/NºAsuntos!G9)*11)/factor_trimestre),((NºAsuntos!I9/NºAsuntos!G9)*11)/factor_trimestre," - ")</f>
        <v>5.4642857142857144</v>
      </c>
      <c r="AN9" s="267">
        <f>IF(ISNUMBER('Resol  Asuntos'!D9/NºAsuntos!G9),'Resol  Asuntos'!D9/NºAsuntos!G9," - ")</f>
        <v>0.24041811846689895</v>
      </c>
      <c r="AO9" s="268">
        <f>IF(ISNUMBER((NºAsuntos!C9+NºAsuntos!E9)/NºAsuntos!G9),(NºAsuntos!C9+NºAsuntos!E9)/NºAsuntos!G9," - ")</f>
        <v>2.8214285714285716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1</v>
      </c>
      <c r="Y10" s="374">
        <f t="shared" ref="Y10:Y13" si="0">SUM(W10:X10)</f>
        <v>15</v>
      </c>
      <c r="Z10" s="375" t="str">
        <f>IF(ISNUMBER(Datos!CC10),Datos!CC10," - ")</f>
        <v xml:space="preserve"> - </v>
      </c>
      <c r="AA10" s="372">
        <f>IF(ISNUMBER(Datos!L10),Datos!L10,"-")</f>
        <v>31</v>
      </c>
      <c r="AB10" s="374">
        <f>IF(ISNUMBER(Datos!R10),Datos!R10," - ")</f>
        <v>64</v>
      </c>
      <c r="AC10" s="374">
        <f t="shared" ref="AC10:AC13" si="1">IF(ISNUMBER(AA10+AB10),AA10+AB10," - ")</f>
        <v>95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1.2727272727272727</v>
      </c>
      <c r="AM10" s="284">
        <f>IF(ISNUMBER(((NºAsuntos!I10/NºAsuntos!G10)*11)/factor_trimestre),((NºAsuntos!I10/NºAsuntos!G10)*11)/factor_trimestre," - ")</f>
        <v>6.6428571428571432</v>
      </c>
      <c r="AN10" s="267">
        <f>IF(ISNUMBER('Resol  Asuntos'!D10/NºAsuntos!G10),'Resol  Asuntos'!D10/NºAsuntos!G10," - ")</f>
        <v>0.42857142857142855</v>
      </c>
      <c r="AO10" s="268">
        <f>IF(ISNUMBER((NºAsuntos!C10+NºAsuntos!E10)/NºAsuntos!G10),(NºAsuntos!C10+NºAsuntos!E10)/NºAsuntos!G10," - ")</f>
        <v>3.2142857142857144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95</v>
      </c>
      <c r="Y11" s="374">
        <f t="shared" si="0"/>
        <v>95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490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89</v>
      </c>
      <c r="AJ11" s="245" t="str">
        <f>IF(ISNUMBER(Datos!BW11),Datos!BW11," - ")</f>
        <v xml:space="preserve"> - </v>
      </c>
      <c r="AK11" s="246" t="str">
        <f>IF(ISNUMBER(Datos!BX11),Datos!BX11," - ")</f>
        <v xml:space="preserve"> - </v>
      </c>
      <c r="AL11" s="266">
        <f>IF(ISNUMBER(NºAsuntos!G11/NºAsuntos!E11),NºAsuntos!G11/NºAsuntos!E11," - ")</f>
        <v>0.9044444444444445</v>
      </c>
      <c r="AM11" s="284">
        <f>IF(ISNUMBER(((NºAsuntos!I11/NºAsuntos!G11)*11)/factor_trimestre),((NºAsuntos!I11/NºAsuntos!G11)*11)/factor_trimestre," - ")</f>
        <v>3.7002457002457008</v>
      </c>
      <c r="AN11" s="267">
        <f>IF(ISNUMBER('Resol  Asuntos'!D11/NºAsuntos!G11),'Resol  Asuntos'!D11/NºAsuntos!G11," - ")</f>
        <v>0.21867321867321868</v>
      </c>
      <c r="AO11" s="268">
        <f>IF(ISNUMBER((NºAsuntos!C11+NºAsuntos!E11)/NºAsuntos!G11),(NºAsuntos!C11+NºAsuntos!E11)/NºAsuntos!G11," - ")</f>
        <v>2.2334152334152333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v>
      </c>
      <c r="Y12" s="374">
        <f t="shared" si="0"/>
        <v>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0.5</v>
      </c>
      <c r="AM12" s="284">
        <f>IF(ISNUMBER(((NºAsuntos!I12/NºAsuntos!G12)*11)/factor_trimestre),((NºAsuntos!I12/NºAsuntos!G12)*11)/factor_trimestre," - ")</f>
        <v>6</v>
      </c>
      <c r="AN12" s="267">
        <f>IF(ISNUMBER('Resol  Asuntos'!D12/NºAsuntos!G12),'Resol  Asuntos'!D12/NºAsuntos!G12," - ")</f>
        <v>0</v>
      </c>
      <c r="AO12" s="268">
        <f>IF(ISNUMBER((NºAsuntos!C12+NºAsuntos!E12)/NºAsuntos!G12),(NºAsuntos!C12+NºAsuntos!E12)/NºAsuntos!G12," - ")</f>
        <v>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34</v>
      </c>
      <c r="G14" s="1163">
        <f t="shared" si="5"/>
        <v>34</v>
      </c>
      <c r="H14" s="1162">
        <f t="shared" si="5"/>
        <v>0</v>
      </c>
      <c r="I14" s="1164">
        <f t="shared" si="5"/>
        <v>0</v>
      </c>
      <c r="J14" s="1164">
        <f t="shared" si="5"/>
        <v>0</v>
      </c>
      <c r="K14" s="1164">
        <f t="shared" si="5"/>
        <v>0</v>
      </c>
      <c r="L14" s="1164">
        <f t="shared" si="5"/>
        <v>394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428</v>
      </c>
      <c r="Y14" s="1165">
        <f t="shared" si="6"/>
        <v>442</v>
      </c>
      <c r="Z14" s="1165">
        <f t="shared" si="6"/>
        <v>0</v>
      </c>
      <c r="AA14" s="1165">
        <f t="shared" si="6"/>
        <v>31</v>
      </c>
      <c r="AB14" s="1165">
        <f t="shared" si="6"/>
        <v>5139</v>
      </c>
      <c r="AC14" s="1165">
        <f t="shared" si="6"/>
        <v>95</v>
      </c>
      <c r="AD14" s="1165">
        <f t="shared" si="6"/>
        <v>0</v>
      </c>
      <c r="AE14" s="1169">
        <f t="shared" si="6"/>
        <v>0</v>
      </c>
      <c r="AF14" s="1162">
        <f t="shared" si="6"/>
        <v>0</v>
      </c>
      <c r="AG14" s="1170">
        <f t="shared" si="6"/>
        <v>0</v>
      </c>
      <c r="AH14" s="1167">
        <f t="shared" si="6"/>
        <v>0</v>
      </c>
      <c r="AI14" s="1162">
        <f t="shared" si="6"/>
        <v>371</v>
      </c>
      <c r="AJ14" s="1164">
        <f t="shared" si="6"/>
        <v>0</v>
      </c>
      <c r="AK14" s="1167">
        <f>SUBTOTAL(9,AK9:AK13)</f>
        <v>0</v>
      </c>
      <c r="AL14" s="1171">
        <f>IF(ISNUMBER(NºAsuntos!G14/NºAsuntos!E14),NºAsuntos!G14/NºAsuntos!E14," - ")</f>
        <v>0.89458689458689455</v>
      </c>
      <c r="AM14" s="1171">
        <f>IF(ISNUMBER(((NºAsuntos!I14/NºAsuntos!G14)*11)/factor_trimestre),((NºAsuntos!I14/NºAsuntos!G14)*11)/factor_trimestre," - ")</f>
        <v>5.017834394904459</v>
      </c>
      <c r="AN14" s="1172">
        <f>IF(ISNUMBER('Resol  Asuntos'!D14/NºAsuntos!G14),'Resol  Asuntos'!D14/NºAsuntos!G14," - ")</f>
        <v>0.23630573248407644</v>
      </c>
      <c r="AO14" s="1173">
        <f>IF(ISNUMBER((NºAsuntos!C14+NºAsuntos!E14)/NºAsuntos!G14),(NºAsuntos!C14+NºAsuntos!E14)/NºAsuntos!G14," - ")</f>
        <v>2.6726114649681527</v>
      </c>
      <c r="AP14" s="1174" t="str">
        <f t="shared" si="2"/>
        <v xml:space="preserve"> - </v>
      </c>
      <c r="AQ14" s="1174">
        <f>IF(ISNUMBER((H14-W14+K14)/(F14)),(H14-W14+K14)/(F14)," - ")</f>
        <v>-0.41176470588235292</v>
      </c>
      <c r="AR14" s="1175">
        <f>IF(ISNUMBER((Datos!P14-Datos!Q14)/(Datos!R14-Datos!P14+Datos!Q14)),(Datos!P14-Datos!Q14)/(Datos!R14-Datos!P14+Datos!Q14)," - ")</f>
        <v>-6.5725884399768023E-3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1098</v>
      </c>
      <c r="G16" s="373">
        <f>IF(ISNUMBER(IF(D_I="SI",Datos!I16,Datos!I16+Datos!AC16)),IF(D_I="SI",Datos!I16,Datos!I16+Datos!AC16)," - ")</f>
        <v>1161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1024</v>
      </c>
      <c r="X16" s="240">
        <f>IF(ISNUMBER(Datos!Q16),Datos!Q16," - ")</f>
        <v>68</v>
      </c>
      <c r="Y16" s="374">
        <f>SUM(W16)</f>
        <v>1024</v>
      </c>
      <c r="Z16" s="375" t="str">
        <f>IF(ISNUMBER(Datos!CC16),Datos!CC16," - ")</f>
        <v xml:space="preserve"> - </v>
      </c>
      <c r="AA16" s="372">
        <f>IF(ISNUMBER(IF(D_I="SI",Datos!L16,Datos!L16+Datos!AF16)),IF(D_I="SI",Datos!L16,Datos!L16+Datos!AF16)," - ")</f>
        <v>954</v>
      </c>
      <c r="AB16" s="374">
        <f>IF(ISNUMBER(Datos!R16),Datos!R16," - ")</f>
        <v>339</v>
      </c>
      <c r="AC16" s="374">
        <f t="shared" ref="AC16:AC22" si="8">IF(ISNUMBER(AA16+AB16),AA16+AB16," - ")</f>
        <v>1293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214</v>
      </c>
      <c r="AJ16" s="245" t="str">
        <f>IF(ISNUMBER(Datos!BW16),Datos!BW16," - ")</f>
        <v xml:space="preserve"> - </v>
      </c>
      <c r="AK16" s="246" t="str">
        <f>IF(ISNUMBER(Datos!BX16),Datos!BX16," - ")</f>
        <v xml:space="preserve"> - </v>
      </c>
      <c r="AL16" s="266">
        <f>IF(ISNUMBER(NºAsuntos!G16/NºAsuntos!E16),NºAsuntos!G16/NºAsuntos!E16," - ")</f>
        <v>1.1636363636363636</v>
      </c>
      <c r="AM16" s="284">
        <f>IF(ISNUMBER(((NºAsuntos!I16/NºAsuntos!G16)*11)/factor_trimestre),((NºAsuntos!I16/NºAsuntos!G16)*11)/factor_trimestre," - ")</f>
        <v>2.794921875</v>
      </c>
      <c r="AN16" s="267">
        <f>IF(ISNUMBER('Resol  Asuntos'!D16/NºAsuntos!G16),'Resol  Asuntos'!D16/NºAsuntos!G16," - ")</f>
        <v>0.208984375</v>
      </c>
      <c r="AO16" s="268">
        <f>IF(ISNUMBER((NºAsuntos!C16+NºAsuntos!E16)/NºAsuntos!G16),(NºAsuntos!C16+NºAsuntos!E16)/NºAsuntos!G16," - ")</f>
        <v>1.9931640625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v>
      </c>
      <c r="X18" s="240">
        <f>IF(ISNUMBER(Datos!Q18),Datos!Q18," - ")</f>
        <v>3</v>
      </c>
      <c r="Y18" s="374">
        <f t="shared" si="9"/>
        <v>72</v>
      </c>
      <c r="Z18" s="375" t="str">
        <f>IF(ISNUMBER(Datos!CC18),Datos!CC18," - ")</f>
        <v xml:space="preserve"> - </v>
      </c>
      <c r="AA18" s="372">
        <f>IF(ISNUMBER(Datos!L18),Datos!L18,"-")</f>
        <v>55</v>
      </c>
      <c r="AB18" s="374">
        <f>IF(ISNUMBER(Datos!R18),Datos!R18," - ")</f>
        <v>3</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0.95833333333333337</v>
      </c>
      <c r="AM18" s="284">
        <f>IF(ISNUMBER(((NºAsuntos!I18/NºAsuntos!G18)*11)/factor_trimestre),((NºAsuntos!I18/NºAsuntos!G18)*11)/factor_trimestre," - ")</f>
        <v>2.3913043478260869</v>
      </c>
      <c r="AN18" s="267">
        <f>IF(ISNUMBER('Resol  Asuntos'!D18/NºAsuntos!G18),'Resol  Asuntos'!D18/NºAsuntos!G18," - ")</f>
        <v>0.20289855072463769</v>
      </c>
      <c r="AO18" s="268">
        <f>IF(ISNUMBER((NºAsuntos!C18+NºAsuntos!E18)/NºAsuntos!G18),(NºAsuntos!C18+NºAsuntos!E18)/NºAsuntos!G18," - ")</f>
        <v>1.855072463768116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1098</v>
      </c>
      <c r="G23" s="1163">
        <f>SUBTOTAL(9,G16:G22)</f>
        <v>1217</v>
      </c>
      <c r="H23" s="1162">
        <f t="shared" ref="H23:O23" si="13">SUBTOTAL(9,H15:H22)</f>
        <v>0</v>
      </c>
      <c r="I23" s="1164">
        <f t="shared" si="13"/>
        <v>0</v>
      </c>
      <c r="J23" s="1164">
        <f t="shared" si="13"/>
        <v>0</v>
      </c>
      <c r="K23" s="1164">
        <f t="shared" si="13"/>
        <v>0</v>
      </c>
      <c r="L23" s="1164">
        <f t="shared" si="13"/>
        <v>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1093</v>
      </c>
      <c r="X23" s="1164">
        <f t="shared" si="14"/>
        <v>71</v>
      </c>
      <c r="Y23" s="1165">
        <f t="shared" si="14"/>
        <v>1096</v>
      </c>
      <c r="Z23" s="1165">
        <f t="shared" si="14"/>
        <v>0</v>
      </c>
      <c r="AA23" s="1165">
        <f t="shared" si="14"/>
        <v>1009</v>
      </c>
      <c r="AB23" s="1165">
        <f t="shared" si="14"/>
        <v>342</v>
      </c>
      <c r="AC23" s="1165">
        <f t="shared" si="14"/>
        <v>1351</v>
      </c>
      <c r="AD23" s="1165">
        <f t="shared" si="14"/>
        <v>0</v>
      </c>
      <c r="AE23" s="1169">
        <f t="shared" si="14"/>
        <v>0</v>
      </c>
      <c r="AF23" s="1162">
        <f t="shared" si="14"/>
        <v>0</v>
      </c>
      <c r="AG23" s="1170">
        <f t="shared" si="14"/>
        <v>0</v>
      </c>
      <c r="AH23" s="1167">
        <f t="shared" si="14"/>
        <v>0</v>
      </c>
      <c r="AI23" s="1162">
        <f t="shared" si="14"/>
        <v>228</v>
      </c>
      <c r="AJ23" s="1164">
        <f t="shared" si="14"/>
        <v>0</v>
      </c>
      <c r="AK23" s="1167">
        <f t="shared" si="14"/>
        <v>0</v>
      </c>
      <c r="AL23" s="1171">
        <f>IF(ISNUMBER(NºAsuntos!G23/NºAsuntos!E23),NºAsuntos!G23/NºAsuntos!E23," - ")</f>
        <v>1.1481092436974789</v>
      </c>
      <c r="AM23" s="1171">
        <f>IF(ISNUMBER(((NºAsuntos!I23/NºAsuntos!G23)*11)/factor_trimestre),((NºAsuntos!I23/NºAsuntos!G23)*11)/factor_trimestre," - ")</f>
        <v>2.7694419030192137</v>
      </c>
      <c r="AN23" s="1172">
        <f>IF(ISNUMBER('Resol  Asuntos'!D23/NºAsuntos!G23),'Resol  Asuntos'!D23/NºAsuntos!G23," - ")</f>
        <v>0.20860018298261665</v>
      </c>
      <c r="AO23" s="1173">
        <f>IF(ISNUMBER((NºAsuntos!C23+NºAsuntos!E23)/NºAsuntos!G23),(NºAsuntos!C23+NºAsuntos!E23)/NºAsuntos!G23," - ")</f>
        <v>1.9844464775846296</v>
      </c>
      <c r="AP23" s="1174" t="str">
        <f t="shared" si="2"/>
        <v xml:space="preserve"> - </v>
      </c>
      <c r="AQ23" s="1174">
        <f>IF(ISNUMBER((H23-W23+K23)/(F23)),(H23-W23+K23)/(F23)," - ")</f>
        <v>-0.99544626593806917</v>
      </c>
      <c r="AR23" s="1175">
        <f>IF(ISNUMBER((Datos!P23-Datos!Q23)/(Datos!R23-Datos!P23+Datos!Q23)),(Datos!P23-Datos!Q23)/(Datos!R23-Datos!P23+Datos!Q23)," - ")</f>
        <v>-1.1560693641618497E-2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1132</v>
      </c>
      <c r="G31" s="1118">
        <f t="shared" si="20"/>
        <v>1251</v>
      </c>
      <c r="H31" s="1117">
        <f t="shared" si="20"/>
        <v>0</v>
      </c>
      <c r="I31" s="1119">
        <f t="shared" si="20"/>
        <v>0</v>
      </c>
      <c r="J31" s="1119">
        <f t="shared" si="20"/>
        <v>0</v>
      </c>
      <c r="K31" s="1180">
        <f t="shared" si="20"/>
        <v>0</v>
      </c>
      <c r="L31" s="1119">
        <f t="shared" si="20"/>
        <v>461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1107</v>
      </c>
      <c r="X31" s="1118">
        <f t="shared" si="21"/>
        <v>499</v>
      </c>
      <c r="Y31" s="1125">
        <f t="shared" si="21"/>
        <v>1538</v>
      </c>
      <c r="Z31" s="1125">
        <f t="shared" si="21"/>
        <v>0</v>
      </c>
      <c r="AA31" s="1125">
        <f t="shared" si="21"/>
        <v>1040</v>
      </c>
      <c r="AB31" s="1125">
        <f t="shared" si="21"/>
        <v>5481</v>
      </c>
      <c r="AC31" s="1125">
        <f t="shared" si="21"/>
        <v>1446</v>
      </c>
      <c r="AD31" s="1125">
        <f t="shared" si="21"/>
        <v>0</v>
      </c>
      <c r="AE31" s="1127">
        <f t="shared" si="21"/>
        <v>0</v>
      </c>
      <c r="AF31" s="1128">
        <f t="shared" si="21"/>
        <v>0</v>
      </c>
      <c r="AG31" s="1129">
        <f t="shared" si="21"/>
        <v>0</v>
      </c>
      <c r="AH31" s="1127">
        <f t="shared" si="21"/>
        <v>0</v>
      </c>
      <c r="AI31" s="1117">
        <f t="shared" si="21"/>
        <v>599</v>
      </c>
      <c r="AJ31" s="1117">
        <f t="shared" si="21"/>
        <v>0</v>
      </c>
      <c r="AK31" s="1127">
        <f t="shared" si="21"/>
        <v>0</v>
      </c>
      <c r="AL31" s="1183">
        <f>IF(ISNUMBER(NºAsuntos!G31/NºAsuntos!E31),NºAsuntos!G31/NºAsuntos!E31," - ")</f>
        <v>0.98374584410786847</v>
      </c>
      <c r="AM31" s="1184">
        <f>IF(ISNUMBER(((NºAsuntos!I31/NºAsuntos!G31)*11)/factor_trimestre),((NºAsuntos!I31/NºAsuntos!G31)*11)/factor_trimestre," - ")</f>
        <v>4.0950056327450248</v>
      </c>
      <c r="AN31" s="1184">
        <f>IF(ISNUMBER('Resol  Asuntos'!D31/NºAsuntos!G31),'Resol  Asuntos'!D31/NºAsuntos!G31," - ")</f>
        <v>0.2249342846413819</v>
      </c>
      <c r="AO31" s="1185">
        <f>IF(ISNUMBER((NºAsuntos!C31+NºAsuntos!E31)/NºAsuntos!G31),(NºAsuntos!C31+NºAsuntos!E31)/NºAsuntos!G31," - ")</f>
        <v>2.3901614720240332</v>
      </c>
      <c r="AP31" s="1186" t="str">
        <f t="shared" si="2"/>
        <v xml:space="preserve"> - </v>
      </c>
      <c r="AQ31" s="1187">
        <f>IF(OR(ISNUMBER(FIND("01",Criterios!A8,1)),ISNUMBER(FIND("02",Criterios!A8,1)),ISNUMBER(FIND("03",Criterios!A8,1)),ISNUMBER(FIND("04",Criterios!A8,1))),(I31-W31+K31)/(F31-K31),(H31-W31+K31)/(F31-K31))</f>
        <v>-0.97791519434628971</v>
      </c>
      <c r="AR31" s="1188">
        <f>IF(ISNUMBER((Datos!P31-Datos!Q31)/(Datos!R31-Datos!P31+Datos!Q31)),(Datos!P31-Datos!Q31)/(Datos!R31-Datos!P31+Datos!Q31)," - ")</f>
        <v>-6.8853053089327773E-3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1.6077298658784152</v>
      </c>
      <c r="F33" s="276">
        <f>IF(ISNUMBER(STDEV(F8:F30)),STDEV(F8:F30),"-")</f>
        <v>558.43304582256474</v>
      </c>
      <c r="G33" s="277">
        <f>IF(ISNUMBER(STDEV(G8:G30)),STDEV(G8:G30),"-")</f>
        <v>568.6492349251447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507.95692543289346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139.93236461471901</v>
      </c>
      <c r="AJ33" s="276">
        <f t="shared" si="25"/>
        <v>0</v>
      </c>
      <c r="AK33" s="278">
        <f t="shared" si="25"/>
        <v>0</v>
      </c>
      <c r="AL33" s="273">
        <f t="shared" si="25"/>
        <v>0.23856948937795816</v>
      </c>
      <c r="AM33" s="274">
        <f t="shared" si="25"/>
        <v>1.6406612276085979</v>
      </c>
      <c r="AN33" s="274">
        <f t="shared" si="25"/>
        <v>0.11532569900818573</v>
      </c>
      <c r="AO33" s="275">
        <f t="shared" si="25"/>
        <v>0.5205260561107905</v>
      </c>
      <c r="AP33" s="317" t="str">
        <f t="shared" si="25"/>
        <v>-</v>
      </c>
      <c r="AQ33" s="318">
        <f t="shared" si="25"/>
        <v>0.41272518916894035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c/Bxsga0eymgZCGIc0l2QAwwuI07V82tjfP30CIlEa85AVftG5Z6Y9Yi5xjLaKMjdG2IVEON0SunQn2/ZF8VA==" saltValue="9oUVbF+PfWI3v+MF8kSD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PONTEVEDRA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-0.08</v>
      </c>
      <c r="I9" s="395">
        <f>IF(ISNUMBER((Tasas!C9-Datos!BE9)/Datos!BE9),(Tasas!C9-Datos!BE9)/Datos!BE9," - ")</f>
        <v>0.32807192807192814</v>
      </c>
      <c r="J9" s="394">
        <f>IF(ISNUMBER((Tasas!D9-Datos!BF9)/Datos!BF9),(Tasas!D9-Datos!BF9)/Datos!BF9," - ")</f>
        <v>-0.50064550161722443</v>
      </c>
      <c r="K9" s="396">
        <f>IF(ISNUMBER((Tasas!E9-Datos!BG9)/Datos!BG9),(Tasas!E9-Datos!BG9)/Datos!BG9," - ")</f>
        <v>0.18909034915502188</v>
      </c>
      <c r="M9" t="e">
        <f>IF(Monitorios="SI",Datos!CE9,0)</f>
        <v>#REF!</v>
      </c>
      <c r="N9" t="e">
        <f>IF(Monitorios="SI",Datos!CF9,0)</f>
        <v>#REF!</v>
      </c>
      <c r="O9" t="e">
        <f>IF(Monitorios="SI",Datos!CG9,0)</f>
        <v>#REF!</v>
      </c>
      <c r="P9" t="e">
        <f>IF(Monitorios="SI",Datos!CH9,0)</f>
        <v>#REF!</v>
      </c>
      <c r="Q9">
        <f>IF(J_V="SI",0,Datos!AG9)</f>
        <v>118</v>
      </c>
      <c r="R9">
        <f>IF(J_V="SI",0,Datos!AH9)</f>
        <v>121</v>
      </c>
      <c r="S9">
        <f>IF(J_V="SI",0,Datos!AI9)</f>
        <v>156</v>
      </c>
      <c r="T9">
        <f>IF(J_V="SI",0,Datos!AJ9)</f>
        <v>83</v>
      </c>
    </row>
    <row r="10" spans="2:20" ht="14.25">
      <c r="B10" s="300" t="s">
        <v>317</v>
      </c>
      <c r="C10" s="7" t="str">
        <f>Datos!A10</f>
        <v>Jdos. Violencia contra la mujer</v>
      </c>
      <c r="D10" s="397">
        <f>IF(ISNUMBER((Datos!I10-Datos!S10)/Datos!S10),(Datos!I10-Datos!S10)/Datos!S10," - ")</f>
        <v>-0.20930232558139536</v>
      </c>
      <c r="E10" s="393">
        <f>IF(ISNUMBER((Datos!J10-Datos!T10)/Datos!T10),(Datos!J10-Datos!T10)/Datos!T10," - ")</f>
        <v>0</v>
      </c>
      <c r="F10" s="393">
        <f>IF(ISNUMBER((Datos!K10-Datos!U10)/Datos!U10),(Datos!K10-Datos!U10)/Datos!U10," - ")</f>
        <v>-0.48148148148148145</v>
      </c>
      <c r="G10" s="394">
        <f>IF(ISNUMBER((Datos!L10-Datos!V10)/Datos!V10),(Datos!L10-Datos!V10)/Datos!V10," - ")</f>
        <v>0.14814814814814814</v>
      </c>
      <c r="H10" s="244">
        <f>IF(ISNUMBER((Datos!M10-Datos!W10)/Datos!W10),(Datos!M10-Datos!W10)/Datos!W10," - ")</f>
        <v>-0.14285714285714285</v>
      </c>
      <c r="I10" s="395">
        <f>IF(ISNUMBER((Tasas!C10-Datos!BE10)/Datos!BE10),(Tasas!C10-Datos!BE10)/Datos!BE10," - ")</f>
        <v>1.2142857142857144</v>
      </c>
      <c r="J10" s="394">
        <f>IF(ISNUMBER((Tasas!D10-Datos!BF10)/Datos!BF10),(Tasas!D10-Datos!BF10)/Datos!BF10," - ")</f>
        <v>0.65306122448979587</v>
      </c>
      <c r="K10" s="396">
        <f>IF(ISNUMBER((Tasas!E10-Datos!BG10)/Datos!BG10),(Tasas!E10-Datos!BG10)/Datos!BG10," - ")</f>
        <v>0.60714285714285721</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-0.10101010101010101</v>
      </c>
      <c r="I11" s="395">
        <f>IF(ISNUMBER((Tasas!C11-Datos!BE11)/Datos!BE11),(Tasas!C11-Datos!BE11)/Datos!BE11," - ")</f>
        <v>-0.27864512708005285</v>
      </c>
      <c r="J11" s="394">
        <f>IF(ISNUMBER((Tasas!D11-Datos!BF11)/Datos!BF11),(Tasas!D11-Datos!BF11)/Datos!BF11," - ")</f>
        <v>-0.63554463554463558</v>
      </c>
      <c r="K11" s="396">
        <f>IF(ISNUMBER((Tasas!E11-Datos!BG11)/Datos!BG11),(Tasas!E11-Datos!BG11)/Datos!BG11," - ")</f>
        <v>-0.18177254090566786</v>
      </c>
      <c r="M11" t="e">
        <f>IF(Monitorios="SI",Datos!CE11,0)</f>
        <v>#REF!</v>
      </c>
      <c r="N11" t="e">
        <f>IF(Monitorios="SI",Datos!CF11,0)</f>
        <v>#REF!</v>
      </c>
      <c r="O11" t="e">
        <f>IF(Monitorios="SI",Datos!CG11,0)</f>
        <v>#REF!</v>
      </c>
      <c r="P11" t="e">
        <f>IF(Monitorios="SI",Datos!CH11,0)</f>
        <v>#REF!</v>
      </c>
      <c r="Q11">
        <f>IF(J_V="SI",0,Datos!AG11)</f>
        <v>29</v>
      </c>
      <c r="R11">
        <f>IF(J_V="SI",0,Datos!AH11)</f>
        <v>147</v>
      </c>
      <c r="S11">
        <f>IF(J_V="SI",0,Datos!AI11)</f>
        <v>146</v>
      </c>
      <c r="T11">
        <f>IF(J_V="SI",0,Datos!AJ11)</f>
        <v>30</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1</v>
      </c>
      <c r="J12" s="394">
        <f>IF(ISNUMBER((Tasas!D12-Datos!BF12)/Datos!BF12),(Tasas!D12-Datos!BF12)/Datos!BF12," - ")</f>
        <v>-1</v>
      </c>
      <c r="K12" s="396">
        <f>IF(ISNUMBER((Tasas!E12-Datos!BG12)/Datos!BG12),(Tasas!E12-Datos!BG12)/Datos!BG12," - ")</f>
        <v>0.5</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-8.6206896551724144E-2</v>
      </c>
      <c r="I14" s="402">
        <f>IF(ISNUMBER((Tasas!C14-Datos!BE14)/Datos!BE14),(Tasas!C14-Datos!BE14)/Datos!BE14," - ")</f>
        <v>0.1714296842780553</v>
      </c>
      <c r="J14" s="400">
        <f>IF(ISNUMBER((Tasas!D14-Datos!BF14)/Datos!BF14),(Tasas!D14-Datos!BF14)/Datos!BF14," - ")</f>
        <v>-0.52811562959333658</v>
      </c>
      <c r="K14" s="403">
        <f>IF(ISNUMBER((Tasas!E14-Datos!BG14)/Datos!BG14),(Tasas!E14-Datos!BG14)/Datos!BG14," - ")</f>
        <v>9.8727728524702935E-2</v>
      </c>
      <c r="M14" t="e">
        <f>IF(Monitorios="SI",Datos!CE14,0)</f>
        <v>#REF!</v>
      </c>
      <c r="N14" t="e">
        <f>IF(Monitorios="SI",Datos!CF14,0)</f>
        <v>#REF!</v>
      </c>
      <c r="O14" t="e">
        <f>IF(Monitorios="SI",Datos!CG14,0)</f>
        <v>#REF!</v>
      </c>
      <c r="P14" t="e">
        <f>IF(Monitorios="SI",Datos!CH14,0)</f>
        <v>#REF!</v>
      </c>
      <c r="Q14">
        <f>IF(J_V="SI",0,Datos!AG14)</f>
        <v>147</v>
      </c>
      <c r="R14">
        <f>IF(J_V="SI",0,Datos!AH14)</f>
        <v>268</v>
      </c>
      <c r="S14">
        <f>IF(J_V="SI",0,Datos!AI14)</f>
        <v>302</v>
      </c>
      <c r="T14">
        <f>IF(J_V="SI",0,Datos!AJ14)</f>
        <v>113</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-0.23061630218687873</v>
      </c>
      <c r="E16" s="393">
        <f>IF(ISNUMBER(
   IF(D_I="SI",(Datos!J16-Datos!T16)/Datos!T16,(Datos!J16+Datos!AD16-(Datos!T16+Datos!AL16))/(Datos!T16+Datos!AL16))
     ),IF(D_I="SI",(Datos!J16-Datos!T16)/Datos!T16,(Datos!J16+Datos!AD16-(Datos!T16+Datos!AL16))/(Datos!T16+Datos!AL16))," - ")</f>
        <v>0.14285714285714285</v>
      </c>
      <c r="F16" s="393">
        <f>IF(ISNUMBER(
   IF(D_I="SI",(Datos!K16-Datos!U16)/Datos!U16,(Datos!K16+Datos!AE16-(Datos!U16+Datos!AM16))/(Datos!U16+Datos!AM16))
     ),IF(D_I="SI",(Datos!K16-Datos!U16)/Datos!U16,(Datos!K16+Datos!AE16-(Datos!U16+Datos!AM16))/(Datos!U16+Datos!AM16))," - ")</f>
        <v>-5.0092764378478663E-2</v>
      </c>
      <c r="G16" s="394">
        <f>IF(ISNUMBER(
   IF(D_I="SI",(Datos!L16-Datos!V16)/Datos!V16,(Datos!L16+Datos!AF16-(Datos!V16+Datos!AN16))/(Datos!V16+Datos!AN16))
     ),IF(D_I="SI",(Datos!L16-Datos!V16)/Datos!V16,(Datos!L16+Datos!AF16-(Datos!V16+Datos!AN16))/(Datos!V16+Datos!AN16))," - ")</f>
        <v>-0.20566194837635304</v>
      </c>
      <c r="H16" s="244">
        <f>IF(ISNUMBER((Datos!M16-Datos!W16)/Datos!W16),(Datos!M16-Datos!W16)/Datos!W16," - ")</f>
        <v>6.4676616915422883E-2</v>
      </c>
      <c r="I16" s="395">
        <f>IF(ISNUMBER((Tasas!C16-Datos!BE16)/Datos!BE16),(Tasas!C16-Datos!BE16)/Datos!BE16," - ")</f>
        <v>-0.16377302768526222</v>
      </c>
      <c r="J16" s="394">
        <f>IF(ISNUMBER((Tasas!D16-Datos!BF16)/Datos!BF16),(Tasas!D16-Datos!BF16)/Datos!BF16," - ")</f>
        <v>0.12082167288557212</v>
      </c>
      <c r="K16" s="396">
        <f>IF(ISNUMBER((Tasas!E16-Datos!BG16)/Datos!BG16),(Tasas!E16-Datos!BG16)/Datos!BG16," - ")</f>
        <v>-5.7204537351908703E-2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-5.0847457627118647E-2</v>
      </c>
      <c r="E18" s="393">
        <f>IF(ISNUMBER(
   IF(D_I="SI",(Datos!J18-Datos!T18)/Datos!T18,(Datos!J18+Datos!AD18-(Datos!T18+Datos!AL18))/(Datos!T18+Datos!AL18))
     ),IF(D_I="SI",(Datos!J18-Datos!T18)/Datos!T18,(Datos!J18+Datos!AD18-(Datos!T18+Datos!AL18))/(Datos!T18+Datos!AL18))," - ")</f>
        <v>-0.1111111111111111</v>
      </c>
      <c r="F18" s="393">
        <f>IF(ISNUMBER(
   IF(D_I="SI",(Datos!K18-Datos!U18)/Datos!U18,(Datos!K18+Datos!AE18-(Datos!U18+Datos!AM18))/(Datos!U18+Datos!AM18))
     ),IF(D_I="SI",(Datos!K18-Datos!U18)/Datos!U18,(Datos!K18+Datos!AE18-(Datos!U18+Datos!AM18))/(Datos!U18+Datos!AM18))," - ")</f>
        <v>-0.15853658536585366</v>
      </c>
      <c r="G18" s="394">
        <f>IF(ISNUMBER(
   IF(D_I="SI",(Datos!L18-Datos!V18)/Datos!V18,(Datos!L18+Datos!AF18-(Datos!V18+Datos!AN18))/(Datos!V18+Datos!AN18))
     ),IF(D_I="SI",(Datos!L18-Datos!V18)/Datos!V18,(Datos!L18+Datos!AF18-(Datos!V18+Datos!AN18))/(Datos!V18+Datos!AN18))," - ")</f>
        <v>-5.1724137931034482E-2</v>
      </c>
      <c r="H18" s="244">
        <f>IF(ISNUMBER((Datos!M18-Datos!W18)/Datos!W18),(Datos!M18-Datos!W18)/Datos!W18," - ")</f>
        <v>-0.3</v>
      </c>
      <c r="I18" s="395">
        <f>IF(ISNUMBER((Tasas!C18-Datos!BE18)/Datos!BE18),(Tasas!C18-Datos!BE18)/Datos!BE18," - ")</f>
        <v>0.12693653173413297</v>
      </c>
      <c r="J18" s="394">
        <f>IF(ISNUMBER((Tasas!D18-Datos!BF18)/Datos!BF18),(Tasas!D18-Datos!BF18)/Datos!BF18," - ")</f>
        <v>-0.16811594202898544</v>
      </c>
      <c r="K18" s="396">
        <f>IF(ISNUMBER((Tasas!E18-Datos!BG18)/Datos!BG18),(Tasas!E18-Datos!BG18)/Datos!BG18," - ")</f>
        <v>8.6542443064182226E-2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-0.22385204081632654</v>
      </c>
      <c r="E23" s="399">
        <f>IF(ISNUMBER(
   IF(D_I="SI",(Datos!J23-Datos!T23)/Datos!T23,(Datos!J23+Datos!AD23-(Datos!T23+Datos!AL23))/(Datos!T23+Datos!AL23))
     ),IF(D_I="SI",(Datos!J23-Datos!T23)/Datos!T23,(Datos!J23+Datos!AD23-(Datos!T23+Datos!AL23))/(Datos!T23+Datos!AL23))," - ")</f>
        <v>0.11868390129259694</v>
      </c>
      <c r="F23" s="399">
        <f>IF(ISNUMBER(
   IF(D_I="SI",(Datos!K23-Datos!U23)/Datos!U23,(Datos!K23+Datos!AE23-(Datos!U23+Datos!AM23))/(Datos!U23+Datos!AM23))
     ),IF(D_I="SI",(Datos!K23-Datos!U23)/Datos!U23,(Datos!K23+Datos!AE23-(Datos!U23+Datos!AM23))/(Datos!U23+Datos!AM23))," - ")</f>
        <v>-5.775862068965517E-2</v>
      </c>
      <c r="G23" s="400">
        <f>IF(ISNUMBER(
   IF(D_I="SI",(Datos!L23-Datos!V23)/Datos!V23,(Datos!L23+Datos!AF23-(Datos!V23+Datos!AN23))/(Datos!V23+Datos!AN23))
     ),IF(D_I="SI",(Datos!L23-Datos!V23)/Datos!V23,(Datos!L23+Datos!AF23-(Datos!V23+Datos!AN23))/(Datos!V23+Datos!AN23))," - ")</f>
        <v>-0.19857029388403494</v>
      </c>
      <c r="H23" s="401">
        <f>IF(ISNUMBER((Datos!M23-Datos!W23)/Datos!W23),(Datos!M23-Datos!W23)/Datos!W23," - ")</f>
        <v>3.1674208144796379E-2</v>
      </c>
      <c r="I23" s="402">
        <f>IF(ISNUMBER((Tasas!C23-Datos!BE23)/Datos!BE23),(Tasas!C23-Datos!BE23)/Datos!BE23," - ")</f>
        <v>-0.14944331281379744</v>
      </c>
      <c r="J23" s="400">
        <f>IF(ISNUMBER((Tasas!D23-Datos!BF23)/Datos!BF23),(Tasas!D23-Datos!BF23)/Datos!BF23," - ")</f>
        <v>9.4914987601064815E-2</v>
      </c>
      <c r="K23" s="403">
        <f>IF(ISNUMBER((Tasas!E23-Datos!BG23)/Datos!BG23),(Tasas!E23-Datos!BG23)/Datos!BG23," - ")</f>
        <v>-4.8384491939574024E-2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-0.21770744225834046</v>
      </c>
      <c r="E31" s="409">
        <f>IF(ISNUMBER(
   IF(J_V="SI",(Datos!J31-Datos!T31)/Datos!T31,(Datos!J31+Datos!Z31-(Datos!T31+Datos!AH31))/(Datos!T31+Datos!AH31))
     ),IF(J_V="SI",(Datos!J31-Datos!T31)/Datos!T31,(Datos!J31+Datos!Z31-(Datos!T31+Datos!AH31))/(Datos!T31+Datos!AH31))," - ")</f>
        <v>9.1972569584509889E-2</v>
      </c>
      <c r="F31" s="409">
        <f>IF(ISNUMBER(
   IF(J_V="SI",(Datos!K31-Datos!U31)/Datos!U31,(Datos!K31+Datos!AA31-(Datos!U31+Datos!AI31))/(Datos!U31+Datos!AI31))
     ),IF(J_V="SI",(Datos!K31-Datos!U31)/Datos!U31,(Datos!K31+Datos!AA31-(Datos!U31+Datos!AI31))/(Datos!U31+Datos!AI31))," - ")</f>
        <v>-0.1429031219826199</v>
      </c>
      <c r="G31" s="410">
        <f>IF(ISNUMBER(
   IF(J_V="SI",(Datos!L31-Datos!V31)/Datos!V31,(Datos!L31+Datos!AB31-(Datos!V31+Datos!AJ31))/(Datos!V31+Datos!AJ31))
     ),IF(J_V="SI",(Datos!L31-Datos!V31)/Datos!V31,(Datos!L31+Datos!AB31-(Datos!V31+Datos!AJ31))/(Datos!V31+Datos!AJ31))," - ")</f>
        <v>-0.10002475860361476</v>
      </c>
      <c r="H31" s="411">
        <f>IF(ISNUMBER((Datos!M31-Datos!W31)/Datos!W31),(Datos!M31-Datos!W31)/Datos!W31," - ")</f>
        <v>-4.4657097288676235E-2</v>
      </c>
      <c r="I31" s="408">
        <f>IF(ISNUMBER((Tasas!C31-Datos!BE31)/Datos!BE31),(Tasas!C31-Datos!BE31)/Datos!BE31," - ")</f>
        <v>5.002744086315021E-2</v>
      </c>
      <c r="J31" s="409">
        <f>IF(ISNUMBER((Tasas!D31-Datos!BF31)/Datos!BF31),(Tasas!D31-Datos!BF31)/Datos!BF31," - ")</f>
        <v>-0.4156598475077144</v>
      </c>
      <c r="K31" s="410">
        <f>IF(ISNUMBER((Tasas!E31-Datos!BG31)/Datos!BG31),(Tasas!E31-Datos!BG31)/Datos!BG31," - ")</f>
        <v>3.7907993512043485E-2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8.5667527638965874E-2</v>
      </c>
      <c r="E33" s="303">
        <f t="shared" si="1"/>
        <v>0.1171642999028588</v>
      </c>
      <c r="F33" s="303">
        <f t="shared" si="1"/>
        <v>0.20246516567797537</v>
      </c>
      <c r="G33" s="304">
        <f t="shared" si="1"/>
        <v>0.16599576494515603</v>
      </c>
      <c r="H33" s="310">
        <f t="shared" si="1"/>
        <v>0.11959731675370676</v>
      </c>
      <c r="I33" s="302">
        <f t="shared" si="1"/>
        <v>0.55061618265952927</v>
      </c>
      <c r="J33" s="303">
        <f t="shared" si="1"/>
        <v>0.52506467214025909</v>
      </c>
      <c r="K33" s="304">
        <f t="shared" si="1"/>
        <v>0.27568672972532138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y+ixUbBCIFtsSt17AYh4fz74bPBdBbJgsHetIzbeRv1yvmnid/0bLbj+pN1K7aiBINeT+uX1wJ3Vk+3+FalnQ==" saltValue="F8ZllgGodStSMHC+UBVz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